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OLEDO\"/>
    </mc:Choice>
  </mc:AlternateContent>
  <workbookProtection workbookAlgorithmName="SHA-512" workbookHashValue="GAeFarSNrw41jU++OKcrJMW4UgFbmLbvbFnC9jJabUwsaLENj0eOB9EJQhwn6Xn/JHqy7qdYGYKyq+y6nz3/jA==" workbookSaltValue="4/dvCp77DophZfk652d6e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R10" i="21"/>
  <c r="R13" i="21" s="1"/>
  <c r="R19" i="21" s="1"/>
  <c r="BI17" i="11"/>
  <c r="BG9" i="11"/>
  <c r="BL11" i="11"/>
  <c r="BH17" i="11"/>
  <c r="BM15" i="11"/>
  <c r="T17" i="16"/>
  <c r="T15" i="16"/>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V9" i="16"/>
  <c r="T18" i="17"/>
  <c r="BG15" i="13"/>
  <c r="BE16" i="13"/>
  <c r="BE15" i="13"/>
  <c r="AX20" i="20"/>
  <c r="B18" i="7" l="1"/>
  <c r="S19" i="8"/>
  <c r="AB13" i="21"/>
  <c r="BG10" i="8"/>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AZ9" i="11"/>
  <c r="AZ13" i="11" s="1"/>
  <c r="BK17" i="11"/>
  <c r="R17" i="20"/>
  <c r="R18" i="20" s="1"/>
  <c r="BG15" i="11"/>
  <c r="AP15" i="20"/>
  <c r="BJ12" i="11"/>
  <c r="BJ15" i="11"/>
  <c r="BH9" i="11"/>
  <c r="AP10" i="21"/>
  <c r="BK11" i="11"/>
  <c r="X11" i="17"/>
  <c r="BK9" i="11"/>
  <c r="BK12" i="11"/>
  <c r="P17" i="17"/>
  <c r="BG10" i="11"/>
  <c r="BL9" i="11"/>
  <c r="BF11" i="11"/>
  <c r="AL16" i="11"/>
  <c r="C16" i="6"/>
  <c r="BE9" i="13"/>
  <c r="AZ19" i="1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D19" i="12"/>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<sst xmlns="http://schemas.openxmlformats.org/spreadsheetml/2006/main" count="2102" uniqueCount="918">
  <si>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</si>
  <si>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</si>
  <si>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</si>
  <si>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</si>
  <si>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</si>
  <si>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</si>
  <si>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</si>
  <si>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</si>
  <si>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</si>
  <si>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</si>
  <si>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</si>
  <si>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</si>
  <si>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</si>
  <si>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</si>
  <si>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</si>
  <si>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</si>
  <si>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</si>
  <si>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</si>
  <si>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</si>
  <si>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</si>
  <si>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</si>
  <si>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</si>
  <si>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</si>
  <si>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</si>
  <si>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</si>
  <si>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</si>
  <si>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</si>
  <si>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</si>
  <si>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</si>
  <si>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</si>
  <si>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</si>
  <si>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</si>
  <si>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</si>
  <si>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</si>
  <si>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</si>
  <si>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</si>
  <si>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</si>
  <si>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</si>
  <si>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</si>
  <si>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</si>
  <si>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</si>
  <si>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</si>
  <si>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</si>
  <si>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</si>
  <si>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</si>
  <si>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</si>
  <si>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</si>
  <si>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</si>
  <si>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</si>
  <si>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</si>
  <si>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</si>
  <si>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</si>
  <si>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</si>
  <si>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</si>
  <si>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</si>
  <si>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</si>
  <si>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</si>
  <si>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</si>
  <si>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</si>
  <si>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</si>
  <si>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</si>
  <si>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</si>
  <si>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</si>
  <si>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</si>
  <si>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</si>
  <si>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</si>
  <si>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</si>
  <si>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</si>
  <si>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</si>
  <si>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</si>
  <si>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</si>
  <si>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</si>
  <si>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</si>
  <si>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</si>
  <si>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</si>
  <si>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</si>
  <si>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</si>
  <si>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</si>
  <si>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</si>
  <si>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</si>
  <si>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</si>
  <si>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</si>
  <si>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</si>
  <si>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</si>
  <si>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</si>
  <si>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</si>
  <si>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</si>
  <si>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</si>
  <si>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</si>
  <si>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</si>
  <si>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</si>
  <si>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</si>
  <si>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</si>
  <si>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</si>
  <si>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</si>
  <si>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</si>
  <si>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</si>
  <si>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</si>
  <si>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</si>
  <si>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</si>
  <si>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</si>
  <si>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</si>
  <si>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</si>
  <si>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</si>
  <si>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</si>
  <si>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</si>
  <si>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</si>
  <si>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</si>
  <si>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</si>
  <si>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</si>
  <si>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</si>
  <si>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</si>
  <si>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</si>
  <si>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</si>
  <si>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</si>
  <si>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</si>
  <si>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</si>
  <si>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</si>
  <si>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</si>
  <si>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</si>
  <si>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</si>
  <si>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</si>
  <si>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</si>
  <si>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</si>
  <si>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</si>
  <si>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</si>
  <si>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</si>
  <si>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</si>
  <si>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</si>
  <si>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</si>
  <si>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</si>
  <si>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</si>
  <si>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</si>
  <si>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</si>
  <si>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</si>
  <si>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</si>
  <si>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</si>
  <si>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</si>
  <si>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</si>
  <si>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</si>
  <si>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</si>
  <si>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</si>
  <si>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</si>
  <si>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</si>
  <si>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</si>
  <si>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</si>
  <si>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</si>
  <si>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</si>
  <si>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</si>
  <si>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</si>
  <si>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</si>
  <si>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</si>
  <si>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</si>
  <si>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</si>
  <si>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</si>
  <si>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</si>
  <si>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</si>
  <si>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</si>
  <si>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</si>
  <si>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</si>
  <si>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</si>
  <si>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</si>
  <si>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</si>
  <si>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</si>
  <si>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</si>
  <si>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</si>
  <si>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</si>
  <si>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</si>
  <si>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</si>
  <si>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</si>
  <si>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</si>
  <si>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</si>
  <si>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</si>
  <si>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</si>
  <si>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</si>
  <si>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</si>
  <si>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</si>
  <si>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</si>
  <si>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</si>
  <si>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</si>
  <si>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</si>
  <si>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</si>
  <si>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</si>
  <si>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</si>
  <si>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</si>
  <si>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</si>
  <si>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</si>
  <si>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</si>
  <si>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</si>
  <si>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</si>
  <si>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</si>
  <si>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</si>
  <si>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</si>
  <si>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</si>
  <si>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</si>
  <si>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</si>
  <si>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</si>
  <si>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</si>
  <si>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</si>
  <si>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</si>
  <si>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</si>
  <si>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</si>
  <si>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</si>
  <si>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</si>
  <si>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</si>
  <si>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</si>
  <si>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</si>
  <si>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</si>
  <si>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</si>
  <si>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</si>
  <si>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</si>
  <si>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</si>
  <si>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</si>
  <si>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</si>
  <si>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</si>
  <si>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</si>
  <si>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</si>
  <si>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</si>
  <si>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</si>
  <si>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</si>
  <si>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</si>
  <si>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</si>
  <si>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</si>
  <si>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</si>
  <si>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</si>
  <si>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</si>
  <si>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</si>
  <si>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</si>
  <si>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</si>
  <si>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</si>
  <si>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</si>
  <si>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</si>
  <si>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</si>
  <si>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</si>
  <si>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</si>
  <si>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</si>
  <si>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</si>
  <si>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</si>
  <si>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</si>
  <si>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</si>
  <si>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</si>
  <si>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</si>
  <si>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</si>
  <si>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</si>
  <si>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</si>
  <si>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</si>
  <si>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</si>
  <si>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</si>
  <si>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</si>
  <si>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</si>
  <si>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</si>
  <si>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</si>
  <si>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</si>
  <si>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</si>
  <si>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</si>
  <si>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</si>
  <si>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</si>
  <si>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</si>
  <si>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</si>
  <si>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</si>
  <si>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</si>
  <si>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</si>
  <si>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</si>
  <si>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</si>
  <si>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</si>
  <si>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</si>
  <si>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</si>
  <si>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</si>
  <si>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</si>
  <si>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</si>
  <si>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</si>
  <si>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</si>
  <si>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</si>
  <si>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</si>
  <si>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</si>
  <si>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</si>
  <si>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</si>
  <si>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</si>
  <si>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</si>
  <si>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</si>
  <si>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</si>
  <si>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</si>
  <si>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</si>
  <si>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</si>
  <si>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</si>
  <si>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</si>
  <si>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</si>
  <si>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</si>
  <si>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</si>
  <si>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</si>
  <si>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</si>
  <si>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</si>
  <si>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</si>
  <si>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</si>
  <si>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</si>
  <si>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</si>
  <si>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</si>
  <si>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</si>
  <si>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</si>
  <si>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</si>
  <si>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</si>
  <si>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</si>
  <si>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</si>
  <si>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</si>
  <si>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</si>
  <si>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</si>
  <si>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</si>
  <si>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</si>
  <si>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</si>
  <si>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</si>
  <si>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</si>
  <si>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</si>
  <si>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</si>
  <si>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</si>
  <si>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</si>
  <si>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</si>
  <si>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</si>
  <si>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</si>
  <si>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</si>
  <si>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</si>
  <si>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</si>
  <si>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</si>
  <si>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</si>
  <si>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</si>
  <si>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</si>
  <si>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</si>
  <si>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</si>
  <si>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</si>
  <si>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</si>
  <si>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</si>
  <si>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</si>
  <si>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</si>
  <si>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</si>
  <si>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</si>
  <si>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</si>
  <si>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</si>
  <si>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</si>
  <si>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</si>
  <si>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</si>
  <si>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</si>
  <si>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</si>
  <si>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</si>
  <si>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</si>
  <si>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</si>
  <si>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</si>
  <si>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</si>
  <si>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</si>
  <si>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</si>
  <si>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</si>
  <si>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</si>
  <si>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</si>
  <si>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</si>
  <si>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</si>
  <si>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</si>
  <si>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</si>
  <si>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</si>
  <si>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</si>
  <si>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</si>
  <si>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</si>
  <si>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</si>
  <si>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</si>
  <si>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</si>
  <si>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</si>
  <si>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</si>
  <si>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</si>
  <si>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</si>
  <si>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</si>
  <si>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</si>
  <si>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</si>
  <si>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</si>
  <si>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</si>
  <si>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</si>
  <si>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</si>
  <si>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</si>
  <si>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</si>
  <si>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</si>
  <si>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</si>
  <si>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</si>
  <si>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</si>
  <si>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</si>
  <si>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</si>
  <si>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</si>
  <si>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</si>
  <si>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</si>
  <si>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</si>
  <si>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</si>
  <si>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</si>
  <si>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</si>
  <si>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</si>
  <si>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</si>
  <si>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</si>
  <si>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</si>
  <si>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</si>
  <si>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</si>
  <si>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</si>
  <si>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</si>
  <si>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</si>
  <si>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</si>
  <si>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</si>
  <si>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</si>
  <si>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</si>
  <si>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</si>
  <si>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</si>
  <si>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</si>
  <si>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</si>
  <si>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</si>
  <si>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</si>
  <si>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</si>
  <si>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</si>
  <si>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</si>
  <si>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</si>
  <si>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</si>
  <si>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</si>
  <si>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</si>
  <si>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</si>
  <si>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</si>
  <si>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</si>
  <si>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</si>
  <si>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</si>
  <si>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</si>
  <si>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</si>
  <si>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</si>
  <si>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</si>
  <si>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</si>
  <si>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</si>
  <si>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</si>
  <si>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</si>
  <si>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</si>
  <si>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</si>
  <si>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</si>
  <si>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</si>
  <si>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</si>
  <si>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</si>
  <si>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</si>
  <si>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</si>
  <si>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</si>
  <si>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</si>
  <si>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</si>
  <si>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</si>
  <si>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</si>
  <si>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</si>
  <si>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</si>
  <si>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</si>
  <si>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</si>
  <si>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</si>
  <si>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</si>
  <si>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</si>
  <si>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</si>
  <si>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</si>
  <si>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</si>
  <si>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</si>
  <si>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</si>
  <si>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</si>
  <si>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</si>
  <si>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</si>
  <si>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</si>
  <si>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</si>
  <si>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</si>
  <si>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</si>
  <si>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</si>
  <si>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</si>
  <si>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</si>
  <si>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</si>
  <si>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</si>
  <si>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</si>
  <si>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</si>
  <si>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</si>
  <si>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</si>
  <si>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</si>
  <si>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</si>
  <si>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</si>
  <si>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</si>
  <si>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</si>
  <si>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</si>
  <si>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</si>
  <si>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</si>
  <si>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</si>
  <si>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</si>
  <si>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</si>
  <si>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</si>
  <si>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</si>
  <si>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</si>
  <si>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</si>
  <si>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</si>
  <si>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</si>
  <si>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</si>
  <si>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</si>
  <si>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</si>
  <si>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</si>
  <si>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</si>
  <si>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</si>
  <si>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</si>
  <si>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</si>
  <si>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</si>
  <si>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</si>
  <si>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</si>
  <si>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</si>
  <si>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</si>
  <si>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</si>
  <si>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</si>
  <si>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</si>
  <si>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</si>
  <si>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</si>
  <si>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</si>
  <si>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</si>
  <si>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</si>
  <si>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</si>
  <si>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</si>
  <si>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</si>
  <si>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</si>
  <si>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</si>
  <si>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</si>
  <si>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</si>
  <si>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</si>
  <si>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</si>
  <si>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</si>
  <si>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</si>
  <si>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</si>
  <si>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</si>
  <si>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</si>
  <si>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</si>
  <si>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</si>
  <si>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</si>
  <si>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</si>
  <si>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</si>
  <si>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</si>
  <si>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</si>
  <si>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</si>
  <si>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</si>
  <si>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</si>
  <si>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</si>
  <si>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</si>
  <si>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</si>
  <si>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</si>
  <si>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</si>
  <si>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</si>
  <si>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</si>
  <si>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</si>
  <si>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</si>
  <si>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</si>
  <si>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</si>
  <si>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</si>
  <si>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</si>
  <si>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</si>
  <si>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</si>
  <si>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</si>
  <si>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</si>
  <si>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</si>
  <si>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</si>
  <si>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</si>
  <si>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</si>
  <si>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</si>
  <si>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</si>
  <si>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</si>
  <si>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</si>
  <si>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</si>
  <si>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</si>
  <si>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</si>
  <si>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</si>
  <si>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</si>
  <si>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</si>
  <si>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</si>
  <si>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</si>
  <si>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</si>
  <si>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</si>
  <si>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</si>
  <si>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</si>
  <si>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</si>
  <si>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</si>
  <si>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</si>
  <si>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</si>
  <si>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</si>
  <si>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</si>
  <si>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</si>
  <si>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</si>
  <si>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</si>
  <si>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</si>
  <si>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</si>
  <si>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</si>
  <si>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</si>
  <si>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</si>
  <si>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</si>
  <si>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</si>
  <si>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</si>
  <si>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</si>
  <si>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</si>
  <si>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</si>
  <si>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</si>
  <si>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</si>
  <si>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</si>
  <si>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</si>
  <si>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</si>
  <si>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</si>
  <si>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</si>
  <si>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</si>
  <si>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</si>
  <si>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</si>
  <si>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</si>
  <si>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</si>
  <si>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</si>
  <si>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</si>
  <si>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</si>
  <si>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</si>
  <si>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</si>
  <si>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</si>
  <si>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</si>
  <si>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</si>
  <si>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</si>
  <si>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</si>
  <si>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</si>
  <si>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</si>
  <si>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</si>
  <si>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</si>
  <si>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</si>
  <si>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</si>
  <si>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</si>
  <si>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</si>
  <si>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</si>
  <si>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</si>
  <si>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</si>
  <si>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</si>
  <si>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</si>
  <si>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</si>
  <si>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</si>
  <si>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</si>
  <si>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</si>
  <si>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</si>
  <si>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</si>
  <si>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</si>
  <si>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</si>
  <si>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</si>
  <si>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</si>
  <si>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</si>
  <si>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</si>
  <si>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</si>
  <si>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</si>
  <si>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</si>
  <si>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</si>
  <si>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</si>
  <si>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</si>
  <si>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</si>
  <si>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</si>
  <si>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</si>
  <si>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</si>
  <si>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</si>
  <si>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</si>
  <si>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</si>
  <si>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</si>
  <si>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</si>
  <si>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</si>
  <si>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</si>
  <si>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</si>
  <si>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</si>
  <si>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</si>
  <si>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</si>
  <si>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</si>
  <si>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</si>
  <si>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</si>
  <si>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</si>
  <si>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</si>
  <si>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</si>
  <si>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</si>
  <si>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</si>
  <si>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</si>
  <si>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</si>
  <si>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</si>
  <si>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</si>
  <si>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</si>
  <si>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</si>
  <si>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</si>
  <si>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</si>
  <si>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</si>
  <si>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</si>
  <si>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</si>
  <si>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</si>
  <si>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</si>
  <si>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</si>
  <si>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</si>
  <si>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</si>
  <si>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</si>
  <si>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</si>
  <si>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</si>
  <si>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</si>
  <si>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</si>
  <si>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</si>
  <si>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</si>
  <si>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</si>
  <si>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</si>
  <si>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</si>
  <si>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</si>
  <si>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</si>
  <si>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</si>
  <si>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</si>
  <si>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</si>
  <si>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</si>
  <si>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</si>
  <si>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</si>
  <si>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</si>
  <si>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</si>
  <si>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</si>
  <si>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</si>
  <si>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</si>
  <si>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</si>
  <si>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</si>
  <si>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</si>
  <si>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</si>
  <si>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</si>
  <si>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</si>
  <si>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</si>
  <si>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</si>
  <si>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</si>
  <si>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</si>
  <si>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</si>
  <si>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</si>
  <si>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</si>
  <si>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</si>
  <si>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</si>
  <si>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</si>
  <si>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</si>
  <si>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</si>
  <si>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</si>
  <si>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</si>
  <si>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</si>
  <si>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</si>
  <si>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</si>
  <si>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</si>
  <si>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</si>
  <si>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</si>
  <si>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</si>
  <si>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</si>
  <si>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</si>
  <si>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</si>
  <si>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</si>
  <si>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</si>
  <si>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</si>
  <si>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</si>
  <si>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</si>
  <si>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</si>
  <si>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</si>
  <si>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</si>
  <si>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</si>
  <si>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</si>
  <si>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</si>
  <si>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</si>
  <si>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</si>
  <si>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</si>
  <si>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</si>
  <si>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</si>
  <si>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</si>
  <si>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</si>
  <si>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</si>
  <si>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</si>
  <si>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</si>
  <si>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</si>
  <si>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</si>
  <si>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</si>
  <si>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</si>
  <si>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</si>
  <si>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</si>
  <si>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</si>
  <si>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</si>
  <si>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</si>
  <si>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</si>
  <si>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</si>
  <si>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</si>
  <si>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</si>
  <si>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</si>
  <si>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</si>
  <si>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</si>
  <si>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</si>
  <si>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</si>
  <si>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</si>
  <si>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</si>
  <si>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</si>
  <si>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</si>
  <si>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</si>
  <si>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</si>
  <si>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</si>
  <si>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</si>
  <si>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</si>
  <si>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</si>
  <si>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</si>
  <si>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</si>
  <si>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</si>
  <si>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</si>
  <si>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</si>
  <si>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</si>
  <si>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</si>
  <si>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</si>
  <si>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</si>
  <si>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</si>
  <si>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</si>
  <si>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</si>
  <si>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</si>
  <si>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</si>
  <si>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</si>
  <si>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</si>
  <si>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</si>
  <si>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</si>
  <si>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</si>
  <si>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</si>
  <si>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</si>
  <si>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</si>
  <si>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</si>
  <si>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</si>
  <si>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</si>
  <si>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</si>
  <si>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</si>
  <si>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</si>
  <si>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</si>
  <si>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</si>
  <si>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</si>
  <si>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</si>
  <si>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</si>
  <si>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</si>
  <si>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</si>
  <si>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</si>
  <si>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</si>
  <si>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</si>
  <si>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</si>
  <si>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</si>
  <si>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</si>
  <si>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</si>
  <si>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</si>
  <si>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</si>
  <si>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</si>
  <si>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</si>
  <si>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</si>
  <si>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</si>
  <si>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</si>
  <si>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</si>
  <si>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</si>
  <si>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</si>
  <si>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</si>
  <si>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</si>
  <si>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</si>
  <si>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</si>
  <si>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</si>
  <si>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</si>
  <si>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</si>
  <si>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</si>
  <si>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</si>
  <si>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</si>
  <si>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</si>
  <si>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</si>
  <si>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</si>
  <si>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</si>
  <si>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</si>
  <si>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</si>
  <si>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</si>
  <si>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</si>
  <si>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</si>
  <si>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</si>
  <si>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</si>
  <si>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</si>
  <si>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</si>
  <si>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</si>
  <si>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</si>
  <si>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</si>
  <si>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</si>
  <si>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</si>
  <si>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</si>
  <si>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</si>
  <si>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</si>
  <si>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</si>
  <si>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</si>
  <si>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</si>
  <si>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</si>
  <si>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</si>
  <si>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</si>
  <si>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</si>
  <si>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</si>
  <si>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</si>
  <si>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</si>
  <si>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</si>
  <si>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</si>
  <si>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</si>
  <si>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</si>
  <si>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</si>
  <si>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</si>
  <si>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</si>
  <si>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</si>
  <si>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</si>
  <si>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</si>
  <si>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</si>
  <si>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</si>
  <si>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</si>
  <si>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</si>
  <si>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</si>
  <si>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</si>
  <si>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</si>
  <si>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</si>
  <si>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</si>
  <si>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</si>
  <si>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</si>
  <si>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</si>
  <si>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</si>
  <si>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</si>
  <si>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</si>
  <si>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</si>
  <si>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</si>
  <si>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</si>
  <si>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</si>
  <si>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</si>
  <si>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</si>
  <si>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</si>
  <si>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</si>
  <si>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</si>
  <si>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</si>
  <si>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</si>
  <si>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</si>
  <si>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</si>
  <si>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</si>
  <si>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CASTILLA-LA MANCHA</t>
  </si>
  <si>
    <t>Provincias</t>
  </si>
  <si>
    <t>TOLEDO</t>
  </si>
  <si>
    <t>Resumenes por Partidos Judiciales</t>
  </si>
  <si>
    <t>ORGAZ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</si>
</sst>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4NrkfD15ce1WA0cxbmQttnTZePp5JG1rtYyh2jR0+o40Toba/S6M/MazTl1Pt0qXuEib280T7E3Ne8dKmdfyQ==" saltValue="w5AkkxCy4i3l3F0A01+4o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21</v>
      </c>
      <c r="D10" s="225">
        <f>IF(ISNUMBER(Datos!I10),Datos!I10," - ")</f>
        <v>21</v>
      </c>
      <c r="E10" s="226">
        <f>IF(ISNUMBER(Datos!J10),Datos!J10," - ")</f>
        <v>0</v>
      </c>
      <c r="F10" s="226">
        <f>IF(ISNUMBER(Datos!K10),Datos!K10," - ")</f>
        <v>0</v>
      </c>
      <c r="G10" s="1034" t="str">
        <f>IF(Datos!E10&lt;&gt;"",Datos!E10,Datos!D10)</f>
        <v>37</v>
      </c>
      <c r="H10" s="227">
        <f>IF(ISNUMBER(Datos!L10),Datos!L10," - ")</f>
        <v>21</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109.75094339622642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21</v>
      </c>
      <c r="D13" s="1049">
        <f>SUBTOTAL(9,D9:D12)</f>
        <v>21</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944</v>
      </c>
      <c r="D16" s="225">
        <f>IF(ISNUMBER(IF(D_I="SI",Datos!I16,Datos!I16+Datos!AC16)),IF(D_I="SI",Datos!I16,Datos!I16+Datos!AC16)," - ")</f>
        <v>944</v>
      </c>
      <c r="E16" s="226">
        <f>IF(ISNUMBER(IF(D_I="SI",Datos!J16,Datos!J16+Datos!AD16)),IF(D_I="SI",Datos!J16,Datos!J16+Datos!AD16)," - ")</f>
        <v>289</v>
      </c>
      <c r="F16" s="226">
        <f>IF(ISNUMBER(IF(D_I="SI",Datos!K16,Datos!K16+Datos!AE16)),IF(D_I="SI",Datos!K16,Datos!K16+Datos!AE16)," - ")</f>
        <v>256</v>
      </c>
      <c r="G16" s="1034" t="str">
        <f>IF(Datos!E16&lt;&gt;"",Datos!E16,Datos!D16)</f>
        <v>04</v>
      </c>
      <c r="H16" s="227">
        <f>IF(ISNUMBER(IF(D_I="SI",Datos!L16,Datos!L16+Datos!AF16)),IF(D_I="SI",Datos!L16,Datos!L16+Datos!AF16)," - ")</f>
        <v>977</v>
      </c>
      <c r="I16" s="1044" t="str">
        <f>IF(ISNUMBER(Datos!AS16/Datos!BM16),Datos!AS16/Datos!BM16," - ")</f>
        <v xml:space="preserve"> - </v>
      </c>
      <c r="J16" s="1045">
        <f>IF(ISNUMBER(Datos!BY16/Datos!CN16),Datos!BY16/Datos!CN16," - ")</f>
        <v>0</v>
      </c>
      <c r="K16" s="230">
        <f t="shared" si="3"/>
        <v>3.4957627118644065E-2</v>
      </c>
      <c r="L16" s="1025">
        <f>IF(ISNUMBER(NºAsuntos!I16/NºAsuntos!G16),(NºAsuntos!I16/NºAsuntos!G16)*11," - ")</f>
        <v>41.98046875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54</v>
      </c>
      <c r="D17" s="225">
        <f>IF(ISNUMBER(IF(D_I="SI",Datos!I17,Datos!I17+Datos!AC17)),IF(D_I="SI",Datos!I17,Datos!I17+Datos!AC17)," - ")</f>
        <v>54</v>
      </c>
      <c r="E17" s="226">
        <f>IF(ISNUMBER(IF(D_I="SI",Datos!J17,Datos!J17+Datos!AD17)),IF(D_I="SI",Datos!J17,Datos!J17+Datos!AD17)," - ")</f>
        <v>0</v>
      </c>
      <c r="F17" s="226">
        <f>IF(ISNUMBER(IF(D_I="SI",Datos!K17,Datos!K17+Datos!AE17)),IF(D_I="SI",Datos!K17,Datos!K17+Datos!AE17)," - ")</f>
        <v>1</v>
      </c>
      <c r="G17" s="1034" t="str">
        <f>IF(Datos!E17&lt;&gt;"",Datos!E17,Datos!D17)</f>
        <v>37</v>
      </c>
      <c r="H17" s="227">
        <f>IF(ISNUMBER(IF(D_I="SI",Datos!L17,Datos!L17+Datos!AF17)),IF(D_I="SI",Datos!L17,Datos!L17+Datos!AF17)," - ")</f>
        <v>53</v>
      </c>
      <c r="I17" s="1044" t="str">
        <f>IF(ISNUMBER(Datos!AS17/Datos!BM17),Datos!AS17/Datos!BM17," - ")</f>
        <v xml:space="preserve"> - </v>
      </c>
      <c r="J17" s="1045" t="str">
        <f>IF(ISNUMBER((Datos!BY17+Datos!BZ17)/Datos!CN17),(Datos!BY17+Datos!BZ17)/Datos!CN17," - ")</f>
        <v xml:space="preserve"> - </v>
      </c>
      <c r="K17" s="230">
        <f t="shared" si="3"/>
        <v>-1.8518518518518517E-2</v>
      </c>
      <c r="L17" s="1025">
        <f>IF(ISNUMBER(NºAsuntos!I17/NºAsuntos!G17),(NºAsuntos!I17/NºAsuntos!G17)*11," - ")</f>
        <v>583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998</v>
      </c>
      <c r="D18" s="1049">
        <f>SUBTOTAL(9,D15:D17)</f>
        <v>998</v>
      </c>
      <c r="E18" s="1050">
        <f>SUBTOTAL(9,E15:E17)</f>
        <v>289</v>
      </c>
      <c r="F18" s="1050">
        <f>SUBTOTAL(9,F15:F17)</f>
        <v>257</v>
      </c>
      <c r="G18" s="1052" t="str">
        <f ca="1">INDIRECT(CONCATENATE("G",ROW()-1))</f>
        <v>37</v>
      </c>
      <c r="H18" s="1053">
        <f ca="1">SUMIF(G$14:G17,G18,H$14:H17)</f>
        <v>53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1019</v>
      </c>
      <c r="D19" s="1071">
        <f>SUBTOTAL(9,D9:D18)</f>
        <v>1019</v>
      </c>
      <c r="E19" s="1072">
        <f>SUBTOTAL(9,E9:E18)</f>
        <v>289</v>
      </c>
      <c r="F19" s="1072">
        <f>SUBTOTAL(9,F9:F18)</f>
        <v>257</v>
      </c>
      <c r="G19" s="1073"/>
      <c r="H19" s="1074">
        <f ca="1">SUMIF(B9:B18,"TOTAL",H9:H18)</f>
        <v>53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mIufZbvc3z2lqaq8ugE/JO5SpWnr36c/xg1llrquckNRZIiMmncCe/yS21/nGUjmZ7iNHe7layLVNVLG8N6Pg==" saltValue="cbrDxaZk4DP4Ir9N2ebdR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J/l4+ZX+qrboR8quZM/nB232lRYz8tTKxhi3t3JQe1oaIB/0AmRqNLTqF/2LJ98eVlqbvLRpM161U0FIC52Tg==" saltValue="PI6pRFKdDI/Qn/JuDN1Sj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21</v>
      </c>
      <c r="J10" s="181">
        <v>0</v>
      </c>
      <c r="K10" s="181">
        <v>0</v>
      </c>
      <c r="L10" s="181">
        <v>21</v>
      </c>
      <c r="M10" s="181">
        <v>0</v>
      </c>
      <c r="N10" s="181">
        <v>0</v>
      </c>
      <c r="O10" s="181">
        <v>0</v>
      </c>
      <c r="P10" s="181">
        <v>0</v>
      </c>
      <c r="Q10" s="181">
        <v>0</v>
      </c>
      <c r="R10" s="181">
        <v>6</v>
      </c>
      <c r="S10" s="181">
        <v>16</v>
      </c>
      <c r="T10" s="181">
        <v>3</v>
      </c>
      <c r="U10" s="181">
        <v>0</v>
      </c>
      <c r="V10" s="181">
        <v>19</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16</v>
      </c>
      <c r="AZ10" s="129">
        <f t="shared" si="0"/>
        <v>3</v>
      </c>
      <c r="BA10" s="129">
        <f t="shared" si="0"/>
        <v>0</v>
      </c>
      <c r="BB10" s="129">
        <f t="shared" si="0"/>
        <v>19</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2345</v>
      </c>
      <c r="J12" s="183">
        <v>478</v>
      </c>
      <c r="K12" s="183">
        <v>254</v>
      </c>
      <c r="L12" s="183">
        <v>2569</v>
      </c>
      <c r="M12" s="183">
        <v>77</v>
      </c>
      <c r="N12" s="183">
        <v>115</v>
      </c>
      <c r="O12" s="181">
        <v>103</v>
      </c>
      <c r="P12" s="183">
        <v>67</v>
      </c>
      <c r="Q12" s="183">
        <v>23</v>
      </c>
      <c r="R12" s="183">
        <v>3070</v>
      </c>
      <c r="S12" s="183">
        <v>1776</v>
      </c>
      <c r="T12" s="183">
        <v>516</v>
      </c>
      <c r="U12" s="183">
        <v>315</v>
      </c>
      <c r="V12" s="183">
        <v>1977</v>
      </c>
      <c r="W12" s="183">
        <v>74</v>
      </c>
      <c r="X12" s="189">
        <v>183</v>
      </c>
      <c r="Y12" s="191">
        <v>77</v>
      </c>
      <c r="Z12" s="181">
        <v>9</v>
      </c>
      <c r="AA12" s="181">
        <v>11</v>
      </c>
      <c r="AB12" s="181">
        <v>75</v>
      </c>
      <c r="AC12" s="183">
        <v>0</v>
      </c>
      <c r="AD12" s="183">
        <v>0</v>
      </c>
      <c r="AE12" s="183">
        <v>0</v>
      </c>
      <c r="AF12" s="189">
        <v>0</v>
      </c>
      <c r="AG12" s="202">
        <v>36</v>
      </c>
      <c r="AH12" s="183">
        <v>18</v>
      </c>
      <c r="AI12" s="183">
        <v>10</v>
      </c>
      <c r="AJ12" s="203">
        <v>44</v>
      </c>
      <c r="AK12" s="182">
        <v>0</v>
      </c>
      <c r="AL12" s="183">
        <v>0</v>
      </c>
      <c r="AM12" s="183">
        <v>0</v>
      </c>
      <c r="AN12" s="189">
        <v>0</v>
      </c>
      <c r="AO12" s="259">
        <v>2</v>
      </c>
      <c r="AP12" s="155">
        <v>2</v>
      </c>
      <c r="AQ12" s="155">
        <v>2</v>
      </c>
      <c r="AR12" s="154">
        <v>2</v>
      </c>
      <c r="AS12" s="340" t="s">
        <v>802</v>
      </c>
      <c r="AT12" s="203"/>
      <c r="AU12" s="202"/>
      <c r="AV12" s="203"/>
      <c r="AW12" s="202"/>
      <c r="AX12" s="203"/>
      <c r="AY12" s="126">
        <f t="shared" si="1"/>
        <v>1812</v>
      </c>
      <c r="AZ12" s="127">
        <f t="shared" si="1"/>
        <v>534</v>
      </c>
      <c r="BA12" s="127">
        <f t="shared" si="1"/>
        <v>325</v>
      </c>
      <c r="BB12" s="127">
        <f t="shared" si="1"/>
        <v>2021</v>
      </c>
      <c r="BC12" s="125">
        <f>IF(ISNUMBER(X12),X12," - ")</f>
        <v>183</v>
      </c>
      <c r="BD12" s="126">
        <f t="shared" si="2"/>
        <v>0.60861423220973787</v>
      </c>
      <c r="BE12" s="127">
        <f t="shared" si="3"/>
        <v>6.218461538461538</v>
      </c>
      <c r="BF12" s="127">
        <f t="shared" si="4"/>
        <v>0.56307692307692303</v>
      </c>
      <c r="BG12" s="196">
        <f t="shared" si="5"/>
        <v>7.218461538461538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2366</v>
      </c>
      <c r="J13" s="184">
        <f t="shared" si="6"/>
        <v>478</v>
      </c>
      <c r="K13" s="184">
        <f t="shared" si="6"/>
        <v>254</v>
      </c>
      <c r="L13" s="184">
        <f t="shared" si="6"/>
        <v>2590</v>
      </c>
      <c r="M13" s="184">
        <f t="shared" si="6"/>
        <v>77</v>
      </c>
      <c r="N13" s="184">
        <f t="shared" si="6"/>
        <v>115</v>
      </c>
      <c r="O13" s="184">
        <f t="shared" si="6"/>
        <v>103</v>
      </c>
      <c r="P13" s="184">
        <f t="shared" si="6"/>
        <v>67</v>
      </c>
      <c r="Q13" s="184">
        <f t="shared" si="6"/>
        <v>23</v>
      </c>
      <c r="R13" s="184">
        <f t="shared" si="6"/>
        <v>3076</v>
      </c>
      <c r="S13" s="184">
        <f t="shared" si="6"/>
        <v>1792</v>
      </c>
      <c r="T13" s="184">
        <f t="shared" si="6"/>
        <v>519</v>
      </c>
      <c r="U13" s="184">
        <f t="shared" si="6"/>
        <v>315</v>
      </c>
      <c r="V13" s="184">
        <f t="shared" si="6"/>
        <v>1996</v>
      </c>
      <c r="W13" s="184">
        <f t="shared" si="6"/>
        <v>74</v>
      </c>
      <c r="X13" s="184">
        <f t="shared" si="6"/>
        <v>183</v>
      </c>
      <c r="Y13" s="184">
        <f t="shared" si="6"/>
        <v>77</v>
      </c>
      <c r="Z13" s="184">
        <f t="shared" si="6"/>
        <v>9</v>
      </c>
      <c r="AA13" s="184">
        <f t="shared" si="6"/>
        <v>11</v>
      </c>
      <c r="AB13" s="184">
        <f t="shared" si="6"/>
        <v>75</v>
      </c>
      <c r="AC13" s="184">
        <f t="shared" si="6"/>
        <v>0</v>
      </c>
      <c r="AD13" s="184">
        <f t="shared" si="6"/>
        <v>0</v>
      </c>
      <c r="AE13" s="184">
        <f t="shared" si="6"/>
        <v>0</v>
      </c>
      <c r="AF13" s="184">
        <f>SUBTOTAL(9,AF9:AF12)</f>
        <v>0</v>
      </c>
      <c r="AG13" s="184">
        <f t="shared" ref="AG13:AT13" si="7">SUBTOTAL(9,AG8:AG12)</f>
        <v>36</v>
      </c>
      <c r="AH13" s="184">
        <f t="shared" si="7"/>
        <v>18</v>
      </c>
      <c r="AI13" s="184">
        <f t="shared" si="7"/>
        <v>10</v>
      </c>
      <c r="AJ13" s="184">
        <f t="shared" si="7"/>
        <v>44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1828</v>
      </c>
      <c r="AZ13" s="184">
        <f>SUBTOTAL(9,AZ8:AZ12)</f>
        <v>537</v>
      </c>
      <c r="BA13" s="184">
        <f>SUBTOTAL(9,BA8:BA12)</f>
        <v>325</v>
      </c>
      <c r="BB13" s="184">
        <f>SUBTOTAL(9,BB8:BB12)</f>
        <v>2040</v>
      </c>
      <c r="BC13" s="184">
        <f>SUBTOTAL(9,BC8:BC12)</f>
        <v>183</v>
      </c>
      <c r="BD13" s="205">
        <f>IF(ISNUMBER(BA13/AZ13),BA13/AZ13," - ")</f>
        <v>0.60521415270018619</v>
      </c>
      <c r="BE13" s="206">
        <f>IF(ISNUMBER(BB13/BA13),BB13/BA13, " - ")</f>
        <v>6.2769230769230768</v>
      </c>
      <c r="BF13" s="206">
        <f>IF(ISNUMBER(BC13/BA13),BC13/BA13, " - ")</f>
        <v>0.56307692307692303</v>
      </c>
      <c r="BG13" s="207">
        <f>IF(ISNUMBER((AY13+AZ13)/BA13),(AY13+AZ13)/BA13," - ")</f>
        <v>7.2769230769230768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944</v>
      </c>
      <c r="J16" s="183">
        <v>289</v>
      </c>
      <c r="K16" s="183">
        <v>256</v>
      </c>
      <c r="L16" s="183">
        <v>977</v>
      </c>
      <c r="M16" s="183">
        <v>46</v>
      </c>
      <c r="N16" s="183">
        <v>137</v>
      </c>
      <c r="O16" s="181">
        <v>1</v>
      </c>
      <c r="P16" s="183">
        <v>9</v>
      </c>
      <c r="Q16" s="183">
        <v>1</v>
      </c>
      <c r="R16" s="183">
        <v>257</v>
      </c>
      <c r="S16" s="183">
        <v>802</v>
      </c>
      <c r="T16" s="183">
        <v>448</v>
      </c>
      <c r="U16" s="183">
        <v>353</v>
      </c>
      <c r="V16" s="183">
        <v>897</v>
      </c>
      <c r="W16" s="183">
        <v>46</v>
      </c>
      <c r="X16" s="189">
        <v>231</v>
      </c>
      <c r="Y16" s="202">
        <v>0</v>
      </c>
      <c r="Z16" s="183">
        <v>0</v>
      </c>
      <c r="AA16" s="183">
        <v>0</v>
      </c>
      <c r="AB16" s="183">
        <v>0</v>
      </c>
      <c r="AC16" s="183">
        <v>1</v>
      </c>
      <c r="AD16" s="183">
        <v>0</v>
      </c>
      <c r="AE16" s="183">
        <v>0</v>
      </c>
      <c r="AF16" s="189">
        <v>1</v>
      </c>
      <c r="AG16" s="202">
        <v>0</v>
      </c>
      <c r="AH16" s="183">
        <v>0</v>
      </c>
      <c r="AI16" s="183">
        <v>0</v>
      </c>
      <c r="AJ16" s="203">
        <v>0</v>
      </c>
      <c r="AK16" s="182">
        <v>0</v>
      </c>
      <c r="AL16" s="183">
        <v>3</v>
      </c>
      <c r="AM16" s="183">
        <v>3</v>
      </c>
      <c r="AN16" s="189">
        <v>0</v>
      </c>
      <c r="AO16" s="259">
        <v>2</v>
      </c>
      <c r="AP16" s="155">
        <v>2</v>
      </c>
      <c r="AQ16" s="155">
        <v>2</v>
      </c>
      <c r="AR16" s="155">
        <v>2</v>
      </c>
      <c r="AS16" s="340" t="s">
        <v>487</v>
      </c>
      <c r="AT16" s="203"/>
      <c r="AU16" s="202"/>
      <c r="AV16" s="203"/>
      <c r="AW16" s="202"/>
      <c r="AX16" s="203"/>
      <c r="AY16" s="126">
        <f t="shared" si="9"/>
        <v>802</v>
      </c>
      <c r="AZ16" s="127">
        <f t="shared" si="9"/>
        <v>448</v>
      </c>
      <c r="BA16" s="127">
        <f t="shared" si="9"/>
        <v>353</v>
      </c>
      <c r="BB16" s="127">
        <f t="shared" si="9"/>
        <v>897</v>
      </c>
      <c r="BC16" s="125">
        <f>IF(ISNUMBER(W16),W16," - ")</f>
        <v>46</v>
      </c>
      <c r="BD16" s="126">
        <f t="shared" ref="BD16" si="11">IF(ISNUMBER(BA16/AZ16),BA16/AZ16," - ")</f>
        <v>0.7879464285714286</v>
      </c>
      <c r="BE16" s="127">
        <f t="shared" ref="BE16" si="12">IF(ISNUMBER(BB16/BA16),BB16/BA16, " - ")</f>
        <v>2.5410764872521248</v>
      </c>
      <c r="BF16" s="127">
        <f t="shared" ref="BF16" si="13">IF(ISNUMBER(BC16/BA16),BC16/BA16, " - ")</f>
        <v>0.13031161473087818</v>
      </c>
      <c r="BG16" s="196">
        <f t="shared" si="10"/>
        <v>3.5410764872521248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54</v>
      </c>
      <c r="J17" s="183">
        <v>0</v>
      </c>
      <c r="K17" s="183">
        <v>1</v>
      </c>
      <c r="L17" s="183">
        <v>53</v>
      </c>
      <c r="M17" s="183">
        <v>0</v>
      </c>
      <c r="N17" s="183">
        <v>1</v>
      </c>
      <c r="O17" s="183">
        <v>0</v>
      </c>
      <c r="P17" s="183">
        <v>0</v>
      </c>
      <c r="Q17" s="183">
        <v>0</v>
      </c>
      <c r="R17" s="183">
        <v>1</v>
      </c>
      <c r="S17" s="183">
        <v>44</v>
      </c>
      <c r="T17" s="183">
        <v>37</v>
      </c>
      <c r="U17" s="183">
        <v>32</v>
      </c>
      <c r="V17" s="183">
        <v>49</v>
      </c>
      <c r="W17" s="183">
        <v>9</v>
      </c>
      <c r="X17" s="189">
        <v>21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44</v>
      </c>
      <c r="AZ17" s="129">
        <f t="shared" si="14"/>
        <v>37</v>
      </c>
      <c r="BA17" s="129">
        <f t="shared" si="14"/>
        <v>32</v>
      </c>
      <c r="BB17" s="129">
        <f t="shared" si="14"/>
        <v>49</v>
      </c>
      <c r="BC17" s="125">
        <f>IF(ISNUMBER(W17),W17," - ")</f>
        <v>9</v>
      </c>
      <c r="BD17" s="126">
        <f>IF(ISNUMBER(BA17/AZ17),BA17/AZ17," - ")</f>
        <v>0.86486486486486491</v>
      </c>
      <c r="BE17" s="127">
        <f>IF(ISNUMBER(BB17/BA17),BB17/BA17, " - ")</f>
        <v>1.53125</v>
      </c>
      <c r="BF17" s="127">
        <f>IF(ISNUMBER(BC17/BA17),BC17/BA17, " - ")</f>
        <v>0.28125</v>
      </c>
      <c r="BG17" s="196">
        <f>IF(ISNUMBER((AY17+AZ17)/BA17),(AY17+AZ17)/BA17," - ")</f>
        <v>2.53125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998</v>
      </c>
      <c r="J18" s="184">
        <f t="shared" si="15"/>
        <v>289</v>
      </c>
      <c r="K18" s="184">
        <f t="shared" si="15"/>
        <v>257</v>
      </c>
      <c r="L18" s="184">
        <f t="shared" si="15"/>
        <v>1030</v>
      </c>
      <c r="M18" s="184">
        <f t="shared" si="15"/>
        <v>46</v>
      </c>
      <c r="N18" s="184">
        <f t="shared" si="15"/>
        <v>138</v>
      </c>
      <c r="O18" s="184">
        <f t="shared" si="15"/>
        <v>1</v>
      </c>
      <c r="P18" s="184">
        <f t="shared" si="15"/>
        <v>9</v>
      </c>
      <c r="Q18" s="184">
        <f t="shared" si="15"/>
        <v>1</v>
      </c>
      <c r="R18" s="184">
        <f t="shared" si="15"/>
        <v>258</v>
      </c>
      <c r="S18" s="184">
        <f t="shared" si="15"/>
        <v>846</v>
      </c>
      <c r="T18" s="184">
        <f t="shared" si="15"/>
        <v>485</v>
      </c>
      <c r="U18" s="184">
        <f t="shared" si="15"/>
        <v>385</v>
      </c>
      <c r="V18" s="184">
        <f t="shared" si="15"/>
        <v>946</v>
      </c>
      <c r="W18" s="184">
        <f t="shared" si="15"/>
        <v>55</v>
      </c>
      <c r="X18" s="184">
        <f t="shared" si="15"/>
        <v>252</v>
      </c>
      <c r="Y18" s="184">
        <f t="shared" si="15"/>
        <v>0</v>
      </c>
      <c r="Z18" s="184">
        <f t="shared" si="15"/>
        <v>0</v>
      </c>
      <c r="AA18" s="184">
        <f t="shared" si="15"/>
        <v>0</v>
      </c>
      <c r="AB18" s="184">
        <f t="shared" si="15"/>
        <v>0</v>
      </c>
      <c r="AC18" s="184">
        <f t="shared" si="15"/>
        <v>1</v>
      </c>
      <c r="AD18" s="184">
        <f t="shared" si="15"/>
        <v>0</v>
      </c>
      <c r="AE18" s="184">
        <f t="shared" si="15"/>
        <v>0</v>
      </c>
      <c r="AF18" s="184">
        <f t="shared" si="15"/>
        <v>1</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846</v>
      </c>
      <c r="AZ18" s="184">
        <f>SUBTOTAL(9,AZ14:AZ17)</f>
        <v>485</v>
      </c>
      <c r="BA18" s="184">
        <f>SUBTOTAL(9,BA14:BA17)</f>
        <v>385</v>
      </c>
      <c r="BB18" s="184">
        <f>SUBTOTAL(9,BB14:BB17)</f>
        <v>946</v>
      </c>
      <c r="BC18" s="184">
        <f>SUBTOTAL(9,BC14:BC17)</f>
        <v>55</v>
      </c>
      <c r="BD18" s="205">
        <f>IF(ISNUMBER(BA18/AZ18),BA18/AZ18," - ")</f>
        <v>0.79381443298969068</v>
      </c>
      <c r="BE18" s="206">
        <f>IF(ISNUMBER(BB18/BA18),BB18/BA18, " - ")</f>
        <v>2.4571428571428573</v>
      </c>
      <c r="BF18" s="206">
        <f>IF(ISNUMBER(BC18/BA18),BC18/BA18, " - ")</f>
        <v>0.14285714285714285</v>
      </c>
      <c r="BG18" s="207">
        <f>IF(ISNUMBER((AY18+AZ18)/BA18),(AY18+AZ18)/BA18," - ")</f>
        <v>3.4571428571428573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3364</v>
      </c>
      <c r="J19" s="134">
        <f t="shared" si="18"/>
        <v>767</v>
      </c>
      <c r="K19" s="134">
        <f t="shared" si="18"/>
        <v>511</v>
      </c>
      <c r="L19" s="134">
        <f t="shared" si="18"/>
        <v>3620</v>
      </c>
      <c r="M19" s="134">
        <f t="shared" si="18"/>
        <v>123</v>
      </c>
      <c r="N19" s="134">
        <f t="shared" si="18"/>
        <v>253</v>
      </c>
      <c r="O19" s="134">
        <f t="shared" si="18"/>
        <v>104</v>
      </c>
      <c r="P19" s="134">
        <f t="shared" si="18"/>
        <v>76</v>
      </c>
      <c r="Q19" s="134">
        <f t="shared" si="18"/>
        <v>24</v>
      </c>
      <c r="R19" s="134">
        <f t="shared" si="18"/>
        <v>3334</v>
      </c>
      <c r="S19" s="134">
        <f t="shared" si="18"/>
        <v>2638</v>
      </c>
      <c r="T19" s="134">
        <f t="shared" si="18"/>
        <v>1004</v>
      </c>
      <c r="U19" s="134">
        <f t="shared" si="18"/>
        <v>700</v>
      </c>
      <c r="V19" s="134">
        <f t="shared" si="18"/>
        <v>2942</v>
      </c>
      <c r="W19" s="134">
        <f t="shared" si="18"/>
        <v>129</v>
      </c>
      <c r="X19" s="134">
        <f t="shared" si="18"/>
        <v>435</v>
      </c>
      <c r="Y19" s="134">
        <f t="shared" si="18"/>
        <v>77</v>
      </c>
      <c r="Z19" s="134">
        <f t="shared" si="18"/>
        <v>9</v>
      </c>
      <c r="AA19" s="134">
        <f t="shared" si="18"/>
        <v>11</v>
      </c>
      <c r="AB19" s="134">
        <f t="shared" si="18"/>
        <v>75</v>
      </c>
      <c r="AC19" s="134">
        <f t="shared" si="18"/>
        <v>1</v>
      </c>
      <c r="AD19" s="134">
        <f t="shared" si="18"/>
        <v>0</v>
      </c>
      <c r="AE19" s="134">
        <f t="shared" si="18"/>
        <v>0</v>
      </c>
      <c r="AF19" s="134">
        <f t="shared" si="18"/>
        <v>1</v>
      </c>
      <c r="AG19" s="134">
        <f t="shared" si="18"/>
        <v>36</v>
      </c>
      <c r="AH19" s="134">
        <f t="shared" si="18"/>
        <v>18</v>
      </c>
      <c r="AI19" s="134">
        <f t="shared" si="18"/>
        <v>10</v>
      </c>
      <c r="AJ19" s="134">
        <f t="shared" si="18"/>
        <v>44</v>
      </c>
      <c r="AK19" s="134">
        <f t="shared" si="18"/>
        <v>0</v>
      </c>
      <c r="AL19" s="134">
        <f t="shared" si="18"/>
        <v>3</v>
      </c>
      <c r="AM19" s="134">
        <f t="shared" si="18"/>
        <v>3</v>
      </c>
      <c r="AN19" s="210">
        <f t="shared" si="18"/>
        <v>0</v>
      </c>
      <c r="AO19" s="211">
        <v>3</v>
      </c>
      <c r="AP19" s="211">
        <v>2</v>
      </c>
      <c r="AQ19" s="211">
        <v>2</v>
      </c>
      <c r="AR19" s="211">
        <v>2</v>
      </c>
      <c r="AS19" s="153">
        <f t="shared" si="18"/>
        <v>0</v>
      </c>
      <c r="AT19" s="153">
        <f t="shared" si="18"/>
        <v>0</v>
      </c>
      <c r="AU19" s="211"/>
      <c r="AV19" s="212"/>
      <c r="AW19" s="211"/>
      <c r="AX19" s="212"/>
      <c r="AY19" s="133">
        <f>SUBTOTAL(9,AY9:AY18)</f>
        <v>2674</v>
      </c>
      <c r="AZ19" s="134">
        <f>SUBTOTAL(9,AZ9:AZ18)</f>
        <v>1022</v>
      </c>
      <c r="BA19" s="134">
        <f>SUBTOTAL(9,BA9:BA18)</f>
        <v>710</v>
      </c>
      <c r="BB19" s="134">
        <f>SUBTOTAL(9,BB9:BB18)</f>
        <v>2986</v>
      </c>
      <c r="BC19" s="135">
        <f>SUBTOTAL(9,BC9:BC18)</f>
        <v>238</v>
      </c>
      <c r="BD19" s="213">
        <f>IF(ISNUMBER(BA19/AZ19),BA19/AZ19," - ")</f>
        <v>0.69471624266144816</v>
      </c>
      <c r="BE19" s="210">
        <f>IF(ISNUMBER(BB19/BA19),BB19/BA19, " - ")</f>
        <v>4.2056338028169016</v>
      </c>
      <c r="BF19" s="210">
        <f>IF(ISNUMBER(BC19/BA19),BC19/BA19, " - ")</f>
        <v>0.3352112676056338</v>
      </c>
      <c r="BG19" s="135">
        <f>IF(ISNUMBER((AY19+AZ19)/BA19),(AY19+AZ19)/BA19," - ")</f>
        <v>5.2056338028169016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pzABn2C4Xx7HJ8qVgKP10VTNR4e7uDMRaMrj9MLSbdz2T5NI0YgQF+sFOmZPoW2+iyddLrjGASfpuvJlxW/YQ==" saltValue="iyxxsBV4pQKJ+ttet9K8F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7WsKLgzBElBnSNFKg4JsHlQDnxGqmOnA+5WBbotbuUuTlmfG5dVIl+yfzhgCixHMgfC1MNYWcMdSOm4owPCnQ==" saltValue="oleRLf0qy+goBkVQ89/7d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ORGAZ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21</v>
      </c>
      <c r="G10" s="333">
        <f>IF(ISNUMBER(Datos!I10),Datos!I10," - ")</f>
        <v>21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21</v>
      </c>
      <c r="AG10" s="334"/>
      <c r="AH10" s="334"/>
      <c r="AI10" s="334"/>
      <c r="AJ10" s="334"/>
      <c r="AK10" s="334"/>
      <c r="AL10" s="479"/>
      <c r="AM10" s="335">
        <f>IF(ISNUMBER(Datos!R10),Datos!R10," - ")</f>
        <v>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v>
      </c>
      <c r="O12" s="334"/>
      <c r="P12" s="334"/>
      <c r="Q12" s="226">
        <f>IF(ISNUMBER(Datos!P12),Datos!P12,0)</f>
        <v>67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75</v>
      </c>
      <c r="AI12" s="334" t="str">
        <f>IF(ISNUMBER(Datos!CD12),Datos!CD12,"-")</f>
        <v>-</v>
      </c>
      <c r="AJ12" s="334" t="str">
        <f>IF(ISNUMBER(Datos!EN12),Datos!EN12," - ")</f>
        <v xml:space="preserve"> - </v>
      </c>
      <c r="AK12" s="334"/>
      <c r="AL12" s="479"/>
      <c r="AM12" s="335">
        <f>IF(ISNUMBER(Datos!R12),Datos!R12," - ")</f>
        <v>3070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77</v>
      </c>
      <c r="BD12" s="229">
        <f>IF(ISNUMBER(Datos!N12),Datos!N12," - ")</f>
        <v>115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0.54414784394250515</v>
      </c>
      <c r="BH12" s="260">
        <f>IF(ISNUMBER(((IF(J_V="SI",Datos!L12/Datos!K12,(Datos!L12+Datos!AB12)/(Datos!K12+Datos!AA12)))*11)/factor_trimestre),((IF(J_V="SI",Datos!L12/Datos!K12,(Datos!L12+Datos!AB12)/(Datos!K12+Datos!AA12)))*11)/factor_trimestre," - ")</f>
        <v>29.932075471698116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1.4540647719762063E-2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21</v>
      </c>
      <c r="G13" s="898">
        <f t="shared" si="0"/>
        <v>21</v>
      </c>
      <c r="H13" s="899">
        <f t="shared" si="0"/>
        <v>0</v>
      </c>
      <c r="I13" s="898">
        <f t="shared" si="0"/>
        <v>0</v>
      </c>
      <c r="J13" s="867">
        <f t="shared" si="0"/>
        <v>0</v>
      </c>
      <c r="K13" s="867">
        <f t="shared" si="0"/>
        <v>0</v>
      </c>
      <c r="L13" s="899">
        <f t="shared" si="0"/>
        <v>0</v>
      </c>
      <c r="M13" s="899">
        <f t="shared" si="0"/>
        <v>0</v>
      </c>
      <c r="N13" s="899">
        <f t="shared" si="0"/>
        <v>9</v>
      </c>
      <c r="O13" s="900">
        <f t="shared" si="0"/>
        <v>0</v>
      </c>
      <c r="P13" s="900">
        <f t="shared" si="0"/>
        <v>0</v>
      </c>
      <c r="Q13" s="899">
        <f t="shared" si="0"/>
        <v>67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23</v>
      </c>
      <c r="AD13" s="899">
        <f t="shared" si="1"/>
        <v>0</v>
      </c>
      <c r="AE13" s="899">
        <f t="shared" si="1"/>
        <v>0</v>
      </c>
      <c r="AF13" s="899">
        <f t="shared" si="1"/>
        <v>21</v>
      </c>
      <c r="AG13" s="899">
        <f t="shared" si="1"/>
        <v>0</v>
      </c>
      <c r="AH13" s="899">
        <f t="shared" si="1"/>
        <v>75</v>
      </c>
      <c r="AI13" s="899">
        <f t="shared" si="1"/>
        <v>0</v>
      </c>
      <c r="AJ13" s="899">
        <f t="shared" si="1"/>
        <v>0</v>
      </c>
      <c r="AK13" s="899">
        <f t="shared" si="1"/>
        <v>0</v>
      </c>
      <c r="AL13" s="899">
        <f t="shared" si="1"/>
        <v>0</v>
      </c>
      <c r="AM13" s="899">
        <f t="shared" si="1"/>
        <v>3076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77</v>
      </c>
      <c r="BD13" s="899">
        <f t="shared" si="1"/>
        <v>115</v>
      </c>
      <c r="BE13" s="899">
        <f t="shared" si="1"/>
        <v>0</v>
      </c>
      <c r="BF13" s="899">
        <f t="shared" si="1"/>
        <v>0</v>
      </c>
      <c r="BG13" s="899">
        <f>IF(ISNUMBER(Datos!K13/Datos!J13),Datos!K13/Datos!J13," - ")</f>
        <v>0.53138075313807531</v>
      </c>
      <c r="BH13" s="903">
        <f>IF(ISNUMBER(((Datos!L13/Datos!K13)*11)/factor_trimestre),((Datos!L13/Datos!K13)*11)/factor_trimestre," - ")</f>
        <v>30.590551181102359</v>
      </c>
      <c r="BI13" s="899">
        <f>IF(ISNUMBER('Resol  Asuntos'!D13/NºAsuntos!G13),'Resol  Asuntos'!D13/NºAsuntos!G13," - ")</f>
        <v>0.29056603773584905</v>
      </c>
      <c r="BJ13" s="899" t="str">
        <f>IF(ISNUMBER(Datos!CI13/Datos!CJ13),Datos!CI13/Datos!CJ13," - ")</f>
        <v xml:space="preserve"> - </v>
      </c>
      <c r="BK13" s="899">
        <f>SUBTOTAL(9,BK8:BK12)</f>
        <v>0</v>
      </c>
      <c r="BL13" s="899">
        <f>IF(ISNUMBER((I13-AB13+L13)/(F13)),(I13-AB13+L13)/(F13)," - ")</f>
        <v>0</v>
      </c>
      <c r="BM13" s="904">
        <f>SUBTOTAL(9,BM9:BM12)</f>
        <v>1.4540647719762063E-2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944</v>
      </c>
      <c r="G16" s="598">
        <f>IF(ISNUMBER(IF(D_I="SI",Datos!I16,Datos!I16+Datos!AC16)),IF(D_I="SI",Datos!I16,Datos!I16+Datos!AC16)," - ")</f>
        <v>944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256</v>
      </c>
      <c r="AC16" s="226">
        <f>IF(ISNUMBER(Datos!Q16),Datos!Q16," - ")</f>
        <v>1</v>
      </c>
      <c r="AD16" s="334"/>
      <c r="AE16" s="484"/>
      <c r="AF16" s="596">
        <f>IF(ISNUMBER(IF(D_I="SI",Datos!L16,Datos!L16+Datos!AF16)),IF(D_I="SI",Datos!L16,Datos!L16+Datos!AF16)," - ")</f>
        <v>977</v>
      </c>
      <c r="AG16" s="334"/>
      <c r="AH16" s="334"/>
      <c r="AI16" s="334"/>
      <c r="AJ16" s="334"/>
      <c r="AK16" s="334"/>
      <c r="AL16" s="479"/>
      <c r="AM16" s="335">
        <f>IF(ISNUMBER(Datos!R16),Datos!R16," - ")</f>
        <v>257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46</v>
      </c>
      <c r="BD16" s="229">
        <f>IF(ISNUMBER(Datos!N16),Datos!N16," - ")</f>
        <v>137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0.88581314878892736</v>
      </c>
      <c r="BH16" s="260">
        <f>IF(ISNUMBER(((IF(D_I="SI",Datos!L16/Datos!K16,(Datos!L16+Datos!AF16)/(Datos!K16+Datos!AE16)))*11)/factor_trimestre),((IF(D_I="SI",Datos!L16/Datos!K16,(Datos!L16+Datos!AF16)/(Datos!K16+Datos!AE16)))*11)/factor_trimestre," - ")</f>
        <v>11.44921875</v>
      </c>
      <c r="BI16" s="243">
        <f>IF(ISNUMBER('Resol  Asuntos'!D16/NºAsuntos!G16),'Resol  Asuntos'!D16/NºAsuntos!G16," - ")</f>
        <v>0.1796875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v>
      </c>
      <c r="AC17" s="226">
        <f>IF(ISNUMBER(Datos!Q17),Datos!Q17," - ")</f>
        <v>0</v>
      </c>
      <c r="AD17" s="334"/>
      <c r="AE17" s="484"/>
      <c r="AF17" s="332">
        <f>IF(ISNUMBER(Datos!L17),Datos!L17,"-")</f>
        <v>53</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159</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944</v>
      </c>
      <c r="G18" s="898">
        <f>SUBTOTAL(9,G15:G17)</f>
        <v>998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257</v>
      </c>
      <c r="AC18" s="899">
        <f t="shared" si="4"/>
        <v>1</v>
      </c>
      <c r="AD18" s="899">
        <f t="shared" si="4"/>
        <v>0</v>
      </c>
      <c r="AE18" s="899">
        <f t="shared" si="4"/>
        <v>0</v>
      </c>
      <c r="AF18" s="899">
        <f t="shared" si="4"/>
        <v>1030</v>
      </c>
      <c r="AG18" s="899">
        <f t="shared" si="4"/>
        <v>0</v>
      </c>
      <c r="AH18" s="899">
        <f t="shared" si="4"/>
        <v>0</v>
      </c>
      <c r="AI18" s="899">
        <f t="shared" si="4"/>
        <v>0</v>
      </c>
      <c r="AJ18" s="899">
        <f t="shared" si="4"/>
        <v>0</v>
      </c>
      <c r="AK18" s="899">
        <f t="shared" si="4"/>
        <v>0</v>
      </c>
      <c r="AL18" s="899">
        <f t="shared" si="4"/>
        <v>0</v>
      </c>
      <c r="AM18" s="899">
        <f t="shared" si="4"/>
        <v>258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46</v>
      </c>
      <c r="BD18" s="899">
        <f t="shared" si="4"/>
        <v>138</v>
      </c>
      <c r="BE18" s="899">
        <f t="shared" si="4"/>
        <v>0</v>
      </c>
      <c r="BF18" s="899">
        <f t="shared" si="4"/>
        <v>0</v>
      </c>
      <c r="BG18" s="899">
        <f>IF(ISNUMBER(Datos!K18/Datos!J18),Datos!K18/Datos!J18," - ")</f>
        <v>0.88927335640138405</v>
      </c>
      <c r="BH18" s="903">
        <f>IF(ISNUMBER(((Datos!L18/Datos!K18)*11)/factor_trimestre),((Datos!L18/Datos!K18)*11)/factor_trimestre," - ")</f>
        <v>12.023346303501945</v>
      </c>
      <c r="BI18" s="899">
        <f>SUBTOTAL(9,BI15:BI17)</f>
        <v>0.1796875</v>
      </c>
      <c r="BJ18" s="899">
        <f>SUBTOTAL(9,BJ15:BJ17)</f>
        <v>0</v>
      </c>
      <c r="BK18" s="899">
        <f>SUBTOTAL(9,BK15:BK17)</f>
        <v>0</v>
      </c>
      <c r="BL18" s="899">
        <f>IF(ISNUMBER((I18-AB18+L18)/(F18)),(I18-AB18+L18)/(F18)," - ")</f>
        <v>-0.2722457627118644</v>
      </c>
      <c r="BM18" s="905">
        <f>IF(ISNUMBER((Datos!P18-Datos!Q18)/(Datos!R18-Datos!P18+Datos!Q18)),(Datos!P18-Datos!Q18)/(Datos!R18-Datos!P18+Datos!Q18)," - ")</f>
        <v>3.2000000000000001E-2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965</v>
      </c>
      <c r="G19" s="820">
        <f t="shared" si="6"/>
        <v>1019</v>
      </c>
      <c r="H19" s="822">
        <f t="shared" si="6"/>
        <v>0</v>
      </c>
      <c r="I19" s="820">
        <f t="shared" si="6"/>
        <v>0</v>
      </c>
      <c r="J19" s="822">
        <f t="shared" si="6"/>
        <v>0</v>
      </c>
      <c r="K19" s="822">
        <f t="shared" si="6"/>
        <v>0</v>
      </c>
      <c r="L19" s="881">
        <f t="shared" si="6"/>
        <v>0</v>
      </c>
      <c r="M19" s="881">
        <f t="shared" si="6"/>
        <v>0</v>
      </c>
      <c r="N19" s="881">
        <f t="shared" si="6"/>
        <v>9</v>
      </c>
      <c r="O19" s="881">
        <f t="shared" si="6"/>
        <v>0</v>
      </c>
      <c r="P19" s="881">
        <f t="shared" si="6"/>
        <v>0</v>
      </c>
      <c r="Q19" s="822">
        <f t="shared" si="6"/>
        <v>76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257</v>
      </c>
      <c r="AC19" s="821">
        <f t="shared" si="7"/>
        <v>24</v>
      </c>
      <c r="AD19" s="821">
        <f t="shared" si="7"/>
        <v>0</v>
      </c>
      <c r="AE19" s="821">
        <f t="shared" si="7"/>
        <v>0</v>
      </c>
      <c r="AF19" s="828">
        <f t="shared" si="7"/>
        <v>1051</v>
      </c>
      <c r="AG19" s="828">
        <f t="shared" si="7"/>
        <v>0</v>
      </c>
      <c r="AH19" s="828">
        <f t="shared" si="7"/>
        <v>75</v>
      </c>
      <c r="AI19" s="828">
        <f t="shared" si="7"/>
        <v>0</v>
      </c>
      <c r="AJ19" s="821">
        <f t="shared" si="7"/>
        <v>0</v>
      </c>
      <c r="AK19" s="828">
        <f t="shared" si="7"/>
        <v>0</v>
      </c>
      <c r="AL19" s="828">
        <f t="shared" si="7"/>
        <v>0</v>
      </c>
      <c r="AM19" s="828">
        <f t="shared" si="7"/>
        <v>3334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123</v>
      </c>
      <c r="BD19" s="820">
        <f t="shared" si="7"/>
        <v>253</v>
      </c>
      <c r="BE19" s="820">
        <f t="shared" si="7"/>
        <v>0</v>
      </c>
      <c r="BF19" s="830">
        <f t="shared" si="7"/>
        <v>0</v>
      </c>
      <c r="BG19" s="915">
        <f>IF(ISNUMBER(Datos!K19/Datos!J19),Datos!K19/Datos!J19," - ")</f>
        <v>0.66623207301173404</v>
      </c>
      <c r="BH19" s="915">
        <f>IF(ISNUMBER(((Datos!L19/Datos!K19)*11)/factor_trimestre),((Datos!L19/Datos!K19)*11)/factor_trimestre," - ")</f>
        <v>21.252446183953033</v>
      </c>
      <c r="BI19" s="813">
        <f>IF(ISNUMBER(Datos!J19/Datos!I19),Datos!J19/Datos!I19," - ")</f>
        <v>0.22800237812128418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-0.26632124352331604</v>
      </c>
      <c r="BM19" s="889">
        <f>IF(ISNUMBER((Datos!P19-Datos!Q19+R19)/(Datos!R19-Datos!P19+Datos!Q19-R19)),(Datos!P19-Datos!Q19+R19)/(Datos!R19-Datos!P19+Datos!Q19-R19)," - ")</f>
        <v>1.5843997562461912E-2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407.6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532.89429846202461</v>
      </c>
      <c r="G21" s="552">
        <f>IF(ISNUMBER(STDEV(G8:G18)),STDEV(G8:G18),"-")</f>
        <v>514.84201460253803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140.30930118848144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34.652561232901675</v>
      </c>
      <c r="BD21" s="551"/>
      <c r="BE21" s="551">
        <f>IF(ISNUMBER(STDEV(BE8:BE18)),STDEV(BE8:BE18),"-")</f>
        <v>0</v>
      </c>
      <c r="BF21" s="556">
        <f>IF(ISNUMBER(STDEV(BF8:BF18)),STDEV(BF8:BF18),"-")</f>
        <v>0</v>
      </c>
      <c r="BG21" s="775">
        <f>IF(ISNUMBER(STDEV(BG8:BG18)),STDEV(BG8:BG18),"-")</f>
        <v>0.20201716306779549</v>
      </c>
      <c r="BH21" s="776">
        <f>IF(ISNUMBER(STDEV(BH8:BH18)),STDEV(BH8:BH18),"-")</f>
        <v>62.407979841222684</v>
      </c>
      <c r="BI21" s="249">
        <f>IF(ISNUMBER(STDEV(BI8:BI18)),STDEV(BI8:BI18),"-")</f>
        <v>0.12027465715980068</v>
      </c>
      <c r="BJ21" s="230" t="str">
        <f>IF(ISNUMBER(BL21/BM21),BL21/BM21," - ")</f>
        <v xml:space="preserve"> - </v>
      </c>
      <c r="BK21" s="575"/>
      <c r="BL21" s="559">
        <f>IF(ISNUMBER(STDEV(BL8:BL18)),STDEV(BL8:BL18),"-")</f>
        <v>0.19250682496286306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mzAeOyPB26HUNXTkpCufxK2ijq8KGDd3sCCVz9B7iRH3r6oA8zUaeLVzav8Fp8R6JXZJW/FYJuuw36DtpKz6g==" saltValue="gnT4PM6U1kqqQiz1PPBLq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TOLEDO  Resumenes por Partidos Judiciales  ORGAZ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21</v>
      </c>
      <c r="G10" s="225">
        <f>IF(ISNUMBER(Datos!I10),Datos!I10," - ")</f>
        <v>21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21</v>
      </c>
      <c r="AB10" s="334"/>
      <c r="AC10" s="334"/>
      <c r="AD10" s="484"/>
      <c r="AE10" s="484">
        <f>IF(ISNUMBER(Datos!R10),Datos!R10," - ")</f>
        <v>6</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23</v>
      </c>
      <c r="AA12" s="332" t="str">
        <f>IF(ISNUMBER(IF(J_V="SI",Datos!L12,Datos!L12+Datos!AB12)-IF(Monitorios="SI",Datos!CD12,0)),
                          IF(J_V="SI",Datos!L12,Datos!L12+Datos!AB12)-IF(Monitorios="SI",Datos!CD12,0),
                          " - ")</f>
        <v xml:space="preserve"> - </v>
      </c>
      <c r="AB12" s="334"/>
      <c r="AC12" s="334"/>
      <c r="AD12" s="484"/>
      <c r="AE12" s="484">
        <f>IF(ISNUMBER(Datos!R12),Datos!R12," - ")</f>
        <v>3070</v>
      </c>
      <c r="AF12" s="229" t="str">
        <f>IF(ISNUMBER(Datos!BV12),Datos!BV12," - ")</f>
        <v xml:space="preserve"> - </v>
      </c>
      <c r="AG12" s="225" t="str">
        <f>IF(ISNUMBER(Datos!DV12),Datos!DV12," - ")</f>
        <v xml:space="preserve"> - </v>
      </c>
      <c r="AH12" s="298"/>
      <c r="AI12" s="227"/>
      <c r="AJ12" s="225">
        <f>IF(ISNUMBER(Datos!M12),Datos!M12," - ")</f>
        <v>77</v>
      </c>
      <c r="AK12" s="229">
        <f>IF(ISNUMBER(Datos!N12),Datos!N12," - ")</f>
        <v>115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29.932075471698116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1.4540647719762063E-2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21</v>
      </c>
      <c r="G13" s="898">
        <f>SUBTOTAL(9,G8:G12)</f>
        <v>21</v>
      </c>
      <c r="H13" s="908"/>
      <c r="I13" s="898">
        <f t="shared" ref="I13:N13" si="0">SUBTOTAL(9,I8:I12)</f>
        <v>0</v>
      </c>
      <c r="J13" s="867">
        <f t="shared" si="0"/>
        <v>0</v>
      </c>
      <c r="K13" s="908">
        <f t="shared" si="0"/>
        <v>0</v>
      </c>
      <c r="L13" s="908">
        <f t="shared" si="0"/>
        <v>0</v>
      </c>
      <c r="M13" s="908">
        <f t="shared" si="0"/>
        <v>0</v>
      </c>
      <c r="N13" s="908">
        <f t="shared" si="0"/>
        <v>67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23</v>
      </c>
      <c r="AA13" s="900">
        <f t="shared" si="2"/>
        <v>21</v>
      </c>
      <c r="AB13" s="900">
        <f t="shared" si="2"/>
        <v>0</v>
      </c>
      <c r="AC13" s="900">
        <f t="shared" si="2"/>
        <v>0</v>
      </c>
      <c r="AD13" s="900">
        <f t="shared" si="2"/>
        <v>0</v>
      </c>
      <c r="AE13" s="900">
        <f t="shared" si="2"/>
        <v>3076</v>
      </c>
      <c r="AF13" s="908">
        <f t="shared" si="2"/>
        <v>0</v>
      </c>
      <c r="AG13" s="908">
        <f t="shared" si="2"/>
        <v>0</v>
      </c>
      <c r="AH13" s="908">
        <f t="shared" si="2"/>
        <v>0</v>
      </c>
      <c r="AI13" s="908">
        <f t="shared" si="2"/>
        <v>0</v>
      </c>
      <c r="AJ13" s="908">
        <f t="shared" si="2"/>
        <v>77</v>
      </c>
      <c r="AK13" s="908">
        <f t="shared" si="2"/>
        <v>115</v>
      </c>
      <c r="AL13" s="908">
        <f t="shared" si="2"/>
        <v>0</v>
      </c>
      <c r="AM13" s="908">
        <f t="shared" si="2"/>
        <v>0</v>
      </c>
      <c r="AN13" s="908">
        <f t="shared" si="2"/>
        <v>0</v>
      </c>
      <c r="AO13" s="904">
        <f>IF(ISNUMBER(((NºAsuntos!I13/NºAsuntos!G13)*11)/factor_trimestre),((NºAsuntos!I13/NºAsuntos!G13)*11)/factor_trimestre," - ")</f>
        <v>30.169811320754718</v>
      </c>
      <c r="AP13" s="910" t="str">
        <f>IF(ISNUMBER(Datos!CI13/Datos!CJ13),Datos!CI13/Datos!CJ13," - ")</f>
        <v xml:space="preserve"> - </v>
      </c>
      <c r="AQ13" s="928">
        <f t="shared" ref="AQ13:AV13" si="3">SUBTOTAL(9,AQ9:AQ12)</f>
        <v>0</v>
      </c>
      <c r="AR13" s="928">
        <f t="shared" si="3"/>
        <v>1.4540647719762063E-2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944</v>
      </c>
      <c r="G16" s="225">
        <f>IF(ISNUMBER(IF(D_I="SI",Datos!I16,Datos!I16+Datos!AC16)),IF(D_I="SI",Datos!I16,Datos!I16+Datos!AC16)," - ")</f>
        <v>944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256</v>
      </c>
      <c r="Z16" s="619">
        <f>IF(ISNUMBER(Datos!Q16),Datos!Q16," - ")</f>
        <v>1</v>
      </c>
      <c r="AA16" s="332">
        <f>IF(ISNUMBER(IF(D_I="SI",Datos!L16,Datos!L16+Datos!AF16)),IF(D_I="SI",Datos!L16,Datos!L16+Datos!AF16)," - ")</f>
        <v>977</v>
      </c>
      <c r="AB16" s="334"/>
      <c r="AC16" s="334"/>
      <c r="AD16" s="484"/>
      <c r="AE16" s="484">
        <f>IF(ISNUMBER(Datos!R16),Datos!R16," - ")</f>
        <v>257</v>
      </c>
      <c r="AF16" s="229" t="str">
        <f>IF(ISNUMBER(Datos!BV16),Datos!BV16," - ")</f>
        <v xml:space="preserve"> - </v>
      </c>
      <c r="AG16" s="225"/>
      <c r="AH16" s="298"/>
      <c r="AI16" s="227"/>
      <c r="AJ16" s="225">
        <f>IF(ISNUMBER(Datos!M16),Datos!M16," - ")</f>
        <v>46</v>
      </c>
      <c r="AK16" s="229">
        <f>IF(ISNUMBER(Datos!N16),Datos!N16," - ")</f>
        <v>137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11.44921875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v>
      </c>
      <c r="Z17" s="619">
        <f>IF(ISNUMBER(Datos!Q17),Datos!Q17," - ")</f>
        <v>0</v>
      </c>
      <c r="AA17" s="332">
        <f>IF(ISNUMBER(Datos!L17),Datos!L17,"-")</f>
        <v>53</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0</v>
      </c>
      <c r="AK17" s="229">
        <f>IF(ISNUMBER(Datos!N17),Datos!N17," - ")</f>
        <v>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944</v>
      </c>
      <c r="G18" s="898">
        <f>SUBTOTAL(9,G15:G17)</f>
        <v>998</v>
      </c>
      <c r="H18" s="932">
        <f>SUBTOTAL(9,H15:H17)</f>
        <v>0</v>
      </c>
      <c r="I18" s="911">
        <f>SUBTOTAL(9,I15:I17)</f>
        <v>0</v>
      </c>
      <c r="J18" s="867">
        <f>SUBTOTAL(9,J14:J17)</f>
        <v>0</v>
      </c>
      <c r="K18" s="932">
        <f t="shared" ref="K18:S18" si="4">SUBTOTAL(9,K15:K17)</f>
        <v>0</v>
      </c>
      <c r="L18" s="932">
        <f t="shared" si="4"/>
        <v>0</v>
      </c>
      <c r="M18" s="932">
        <f t="shared" si="4"/>
        <v>0</v>
      </c>
      <c r="N18" s="932">
        <f t="shared" si="4"/>
        <v>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257</v>
      </c>
      <c r="Z18" s="932">
        <f t="shared" si="5"/>
        <v>1</v>
      </c>
      <c r="AA18" s="932">
        <f t="shared" si="5"/>
        <v>1030</v>
      </c>
      <c r="AB18" s="932">
        <f t="shared" si="5"/>
        <v>0</v>
      </c>
      <c r="AC18" s="932">
        <f t="shared" si="5"/>
        <v>0</v>
      </c>
      <c r="AD18" s="932">
        <f t="shared" si="5"/>
        <v>0</v>
      </c>
      <c r="AE18" s="932">
        <f t="shared" si="5"/>
        <v>258</v>
      </c>
      <c r="AF18" s="932">
        <f t="shared" si="5"/>
        <v>0</v>
      </c>
      <c r="AG18" s="932">
        <f t="shared" si="5"/>
        <v>0</v>
      </c>
      <c r="AH18" s="932">
        <f t="shared" si="5"/>
        <v>0</v>
      </c>
      <c r="AI18" s="932">
        <f t="shared" si="5"/>
        <v>0</v>
      </c>
      <c r="AJ18" s="932">
        <f t="shared" si="5"/>
        <v>46</v>
      </c>
      <c r="AK18" s="932">
        <f t="shared" si="5"/>
        <v>138</v>
      </c>
      <c r="AL18" s="932">
        <f t="shared" si="5"/>
        <v>0</v>
      </c>
      <c r="AM18" s="932">
        <f t="shared" si="5"/>
        <v>0</v>
      </c>
      <c r="AN18" s="932">
        <f t="shared" si="5"/>
        <v>0</v>
      </c>
      <c r="AO18" s="934">
        <f>IF(ISNUMBER(((NºAsuntos!I18/NºAsuntos!G18)*11)/factor_trimestre),((NºAsuntos!I18/NºAsuntos!G18)*11)/factor_trimestre," - ")</f>
        <v>12.023346303501945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965</v>
      </c>
      <c r="G19" s="820">
        <f t="shared" si="7"/>
        <v>1019</v>
      </c>
      <c r="H19" s="821">
        <f t="shared" si="7"/>
        <v>0</v>
      </c>
      <c r="I19" s="820">
        <f t="shared" si="7"/>
        <v>0</v>
      </c>
      <c r="J19" s="822">
        <f t="shared" si="7"/>
        <v>0</v>
      </c>
      <c r="K19" s="820">
        <f t="shared" si="7"/>
        <v>0</v>
      </c>
      <c r="L19" s="823">
        <f t="shared" si="7"/>
        <v>0</v>
      </c>
      <c r="M19" s="820">
        <f t="shared" si="7"/>
        <v>0</v>
      </c>
      <c r="N19" s="821">
        <f t="shared" si="7"/>
        <v>76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257</v>
      </c>
      <c r="Z19" s="827">
        <f t="shared" si="8"/>
        <v>24</v>
      </c>
      <c r="AA19" s="828">
        <f t="shared" si="8"/>
        <v>1051</v>
      </c>
      <c r="AB19" s="828">
        <f t="shared" si="8"/>
        <v>0</v>
      </c>
      <c r="AC19" s="828">
        <f t="shared" si="8"/>
        <v>0</v>
      </c>
      <c r="AD19" s="829">
        <f t="shared" si="8"/>
        <v>0</v>
      </c>
      <c r="AE19" s="829">
        <f t="shared" si="8"/>
        <v>3334</v>
      </c>
      <c r="AF19" s="830">
        <f t="shared" si="8"/>
        <v>0</v>
      </c>
      <c r="AG19" s="831">
        <f t="shared" si="8"/>
        <v>0</v>
      </c>
      <c r="AH19" s="832">
        <f t="shared" si="8"/>
        <v>0</v>
      </c>
      <c r="AI19" s="830">
        <f t="shared" si="8"/>
        <v>0</v>
      </c>
      <c r="AJ19" s="820">
        <f t="shared" si="8"/>
        <v>123</v>
      </c>
      <c r="AK19" s="820">
        <f t="shared" si="8"/>
        <v>253</v>
      </c>
      <c r="AL19" s="820">
        <f t="shared" si="8"/>
        <v>0</v>
      </c>
      <c r="AM19" s="833">
        <f t="shared" si="8"/>
        <v>0</v>
      </c>
      <c r="AN19" s="823">
        <f>IF(ISNUMBER(Datos!K19/Datos!J19),Datos!K19/Datos!J19," - ")</f>
        <v>0.66623207301173404</v>
      </c>
      <c r="AO19" s="823">
        <f>IF(ISNUMBER(FIND("06",Criterios!A8,1)),(IF(ISNUMBER(((Datos!R19/Datos!Q19)*11)/factor_trimestre),((Datos!R19/Datos!Q19)*11)/factor_trimestre," - ")),(IF(ISNUMBER(((Datos!L19/Datos!K19)*11)/factor_trimestre),((Datos!L19/Datos!K19)*11)/factor_trimestre," - ")))</f>
        <v>21.252446183953033</v>
      </c>
      <c r="AP19" s="834" t="str">
        <f>IF(ISNUMBER(Datos!CI19/Datos!CJ19),Datos!CI19/Datos!CJ19," - ")</f>
        <v xml:space="preserve"> - </v>
      </c>
      <c r="AQ19" s="834">
        <f>IF(OR(ISNUMBER(FIND("01",Criterios!A8,1)),ISNUMBER(FIND("02",Criterios!A8,1)),ISNUMBER(FIND("03",Criterios!A8,1)),ISNUMBER(FIND("04",Criterios!A8,1))),(J19-Y19+K19)/(F19-K19),(I19-Y19+K19)/(F19-K19))</f>
        <v>-0.26632124352331604</v>
      </c>
      <c r="AR19" s="834">
        <f>IF(ISNUMBER((Datos!P19-Datos!Q19+O19)/(Datos!R19-Datos!P19+Datos!Q19-O19)),(Datos!P19-Datos!Q19+O19)/(Datos!R19-Datos!P19+Datos!Q19-O19)," - ")</f>
        <v>1.5843997562461912E-2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407.6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532.89429846202461</v>
      </c>
      <c r="G21" s="552">
        <f>IF(ISNUMBER(STDEV(G8:G18)),STDEV(G8:G18),"-")</f>
        <v>514.84201460253803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34.652561232901675</v>
      </c>
      <c r="AK21" s="252"/>
      <c r="AL21" s="252">
        <f>IF(ISNUMBER(STDEV(AL8:AL18)),STDEV(AL8:AL18),"-")</f>
        <v>0</v>
      </c>
      <c r="AM21" s="254">
        <f>IF(ISNUMBER(STDEV(AM8:AM18)),STDEV(AM8:AM18),"-")</f>
        <v>0</v>
      </c>
      <c r="AN21" s="539">
        <f>IF(ISNUMBER(STDEV(AN8:AN18)),STDEV(AN8:AN18),"-")</f>
        <v>0</v>
      </c>
      <c r="AO21" s="540">
        <f>IF(ISNUMBER(STDEV(AO8:AO18)),STDEV(AO8:AO18),"-")</f>
        <v>62.438608220033963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AH4Sm35EoWQIBjIpHZH5+3E4IlhwEHydMZze8q3VGOaysmgmJ+rUDDavN3+kLUJzZX2mOuMGnurYccQ9LM3yIg==" saltValue="ioUXn2OTOFpzzKKBMITK6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uFP040RQwwGN+kTeFihZMo2OUmY4ohX/ppyNuOFAgc/t4v4uqLjlKGAm5LnxrY6W2fSAjzZrjVCmObVHR+g0w==" saltValue="EReBQRdJl+/K/p0DIl4Dv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Ng4AA6aXMpSMOow2aVBupAoLClfbgaj44Fv2Ilx4Jb9gvT501CJRzZ/H1urQ8qFj7t6EHnkyfvxHDgpdx3XHg==" saltValue="yT1cI8WvQdy0mpFBXOR72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ORGAZ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0.29056603773584905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0.20546121566552511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6/ElAge28CUSeg1wbJOXk+ZRleh+so2NkApsf1RaSsox5SVauOfdGMdRf1CufO0c+Tgp6yvPgsFxO1Ep3LYqHQ==" saltValue="Hzx7G1UG++JOr1Bb3h4BG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sj7gshcPbLsq4CwdQBfpUEXpCj+xfxo+ipqW8QZY7GwURCfn01Pu82MQLYG++2tPu82gqlmboqlYtc3AkwwRw==" saltValue="6jHc2StbB+BDxTjm475fr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TOLEDO</v>
      </c>
      <c r="D3" s="375"/>
      <c r="E3" s="375"/>
      <c r="F3" s="375"/>
      <c r="BQ3" s="471"/>
    </row>
    <row r="4" spans="1:69" ht="13.5" thickBot="1">
      <c r="A4" s="375"/>
      <c r="B4" s="391" t="str">
        <f>Criterios!A11 &amp;"  "&amp;Criterios!B11</f>
        <v>Resumenes por Partidos Judiciales  ORGAZ</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21</v>
      </c>
      <c r="D10" s="404">
        <f>IF(ISNUMBER(C10/Datos!BH10),C10/Datos!BH10," - ")</f>
        <v>21</v>
      </c>
      <c r="E10" s="403">
        <f>IF(ISNUMBER(Datos!J10),Datos!J10," - ")</f>
        <v>0</v>
      </c>
      <c r="F10" s="404">
        <f>IF(ISNUMBER(E10/B10),E10/B10," - ")</f>
        <v>0</v>
      </c>
      <c r="G10" s="403">
        <f>IF(ISNUMBER(Datos!K10),Datos!K10," - ")</f>
        <v>0</v>
      </c>
      <c r="H10" s="404">
        <f>IF(ISNUMBER(G10/B10),G10/B10," - ")</f>
        <v>0</v>
      </c>
      <c r="I10" s="403">
        <f>IF(ISNUMBER(Datos!L10),Datos!L10," - ")</f>
        <v>21</v>
      </c>
      <c r="J10" s="404">
        <f>IF(ISNUMBER(I10/B10),I10/B10," - ")</f>
        <v>21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2422</v>
      </c>
      <c r="D12" s="404">
        <f>IF(ISNUMBER(C12/Datos!BH12),C12/Datos!BH12," - ")</f>
        <v>1211</v>
      </c>
      <c r="E12" s="403">
        <f>IF(ISNUMBER(IF(J_V="SI",Datos!J12,Datos!J12+Datos!Z12)),IF(J_V="SI",Datos!J12,Datos!J12+Datos!Z12)," - ")</f>
        <v>487</v>
      </c>
      <c r="F12" s="404">
        <f>IF(ISNUMBER(E12/B12),E12/B12," - ")</f>
        <v>243.5</v>
      </c>
      <c r="G12" s="403">
        <f>IF(ISNUMBER(IF(J_V="SI",Datos!K12,Datos!K12+Datos!AA12)),IF(J_V="SI",Datos!K12,Datos!K12+Datos!AA12)," - ")</f>
        <v>265</v>
      </c>
      <c r="H12" s="404">
        <f>IF(ISNUMBER(G12/B12),G12/B12," - ")</f>
        <v>132.5</v>
      </c>
      <c r="I12" s="403">
        <f>IF(ISNUMBER(IF(J_V="SI",Datos!L12,Datos!L12+Datos!AB12)),IF(J_V="SI",Datos!L12,Datos!L12+Datos!AB12)," - ")</f>
        <v>2644</v>
      </c>
      <c r="J12" s="404">
        <f>IF(ISNUMBER(I12/B12),I12/B12," - ")</f>
        <v>1322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2443</v>
      </c>
      <c r="D13" s="850" t="str">
        <f>IF(ISNUMBER(C13/Datos!BI13),C13/Datos!BI13," - ")</f>
        <v xml:space="preserve"> - </v>
      </c>
      <c r="E13" s="849">
        <f>SUBTOTAL(9,E8:E12)</f>
        <v>487</v>
      </c>
      <c r="F13" s="850">
        <f>IF(ISNUMBER(E13/B13),E13/B13," - ")</f>
        <v>243.5</v>
      </c>
      <c r="G13" s="849">
        <f>SUBTOTAL(9,G8:G12)</f>
        <v>265</v>
      </c>
      <c r="H13" s="850">
        <f>IF(ISNUMBER(G13/B13),G13/B13," - ")</f>
        <v>132.5</v>
      </c>
      <c r="I13" s="849">
        <f>SUBTOTAL(9,I8:I12)</f>
        <v>2665</v>
      </c>
      <c r="J13" s="850">
        <f>IF(ISNUMBER(I13/B13),I13/B13," - ")</f>
        <v>1332.5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944</v>
      </c>
      <c r="D16" s="404">
        <f>IF(ISNUMBER(C16/Datos!BH16),C16/Datos!BH16," - ")</f>
        <v>472</v>
      </c>
      <c r="E16" s="403">
        <f>IF(ISNUMBER(IF(D_I="SI",Datos!J16,Datos!J16+Datos!AD16)),IF(D_I="SI",Datos!J16,Datos!J16+Datos!AD16)," - ")</f>
        <v>289</v>
      </c>
      <c r="F16" s="404">
        <f>IF(ISNUMBER(E16/B16),E16/B16," - ")</f>
        <v>144.5</v>
      </c>
      <c r="G16" s="403">
        <f>IF(ISNUMBER(IF(D_I="SI",Datos!K16,Datos!K16+Datos!AE16)),IF(D_I="SI",Datos!K16,Datos!K16+Datos!AE16)," - ")</f>
        <v>256</v>
      </c>
      <c r="H16" s="404">
        <f>IF(ISNUMBER(G16/B16),G16/B16," - ")</f>
        <v>128</v>
      </c>
      <c r="I16" s="403">
        <f>IF(ISNUMBER(IF(D_I="SI",Datos!L16,Datos!L16+Datos!AF16)),IF(D_I="SI",Datos!L16,Datos!L16+Datos!AF16)," - ")</f>
        <v>977</v>
      </c>
      <c r="J16" s="404">
        <f>IF(ISNUMBER(I16/B16),I16/B16," - ")</f>
        <v>488.5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54</v>
      </c>
      <c r="D17" s="404">
        <f>IF(ISNUMBER(C17/Datos!BH17),C17/Datos!BH17," - ")</f>
        <v>54</v>
      </c>
      <c r="E17" s="403">
        <f>IF(ISNUMBER(IF(D_I="SI",Datos!J17,Datos!J17+Datos!AD17)),IF(D_I="SI",Datos!J17,Datos!J17+Datos!AD17)," - ")</f>
        <v>0</v>
      </c>
      <c r="F17" s="404">
        <f>IF(ISNUMBER(E17/B17),E17/B17," - ")</f>
        <v>0</v>
      </c>
      <c r="G17" s="403">
        <f>IF(ISNUMBER(IF(D_I="SI",Datos!K17,Datos!K17+Datos!AE17)),IF(D_I="SI",Datos!K17,Datos!K17+Datos!AE17)," - ")</f>
        <v>1</v>
      </c>
      <c r="H17" s="404">
        <f>IF(ISNUMBER(G17/B17),G17/B17," - ")</f>
        <v>1</v>
      </c>
      <c r="I17" s="403">
        <f>IF(ISNUMBER(IF(D_I="SI",Datos!L17,Datos!L17+Datos!AF17)),IF(D_I="SI",Datos!L17,Datos!L17+Datos!AF17)," - ")</f>
        <v>53</v>
      </c>
      <c r="J17" s="404">
        <f>IF(ISNUMBER(I17/B17),I17/B17," - ")</f>
        <v>53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998</v>
      </c>
      <c r="D18" s="850" t="str">
        <f>IF(ISNUMBER(C18/Datos!BI18),C18/Datos!BI18," - ")</f>
        <v xml:space="preserve"> - </v>
      </c>
      <c r="E18" s="849">
        <f>SUBTOTAL(9,E14:E17)</f>
        <v>289</v>
      </c>
      <c r="F18" s="850">
        <f>IF(ISNUMBER(E18/B18),E18/B18," - ")</f>
        <v>144.5</v>
      </c>
      <c r="G18" s="849">
        <f>SUBTOTAL(9,G14:G17)</f>
        <v>257</v>
      </c>
      <c r="H18" s="850">
        <f>IF(ISNUMBER(G18/B18),G18/B18," - ")</f>
        <v>128.5</v>
      </c>
      <c r="I18" s="849">
        <f>SUBTOTAL(9,I14:I17)</f>
        <v>1030</v>
      </c>
      <c r="J18" s="850">
        <f>IF(ISNUMBER(I18/B18),I18/B18," - ")</f>
        <v>515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3441</v>
      </c>
      <c r="D19" s="795" t="str">
        <f>IF(ISNUMBER(C19/Datos!BI19),C19/Datos!BI19," - ")</f>
        <v xml:space="preserve"> - </v>
      </c>
      <c r="E19" s="794">
        <f>SUBTOTAL(9,E9:E18)</f>
        <v>776</v>
      </c>
      <c r="F19" s="795">
        <f>IF(ISNUMBER(E19/B19),E19/B19," - ")</f>
        <v>388</v>
      </c>
      <c r="G19" s="794">
        <f>SUBTOTAL(9,G9:G18)</f>
        <v>522</v>
      </c>
      <c r="H19" s="795">
        <f>IF(ISNUMBER(G19/B19),G19/B19," - ")</f>
        <v>261</v>
      </c>
      <c r="I19" s="794">
        <f>SUBTOTAL(9,I9:I18)</f>
        <v>3695</v>
      </c>
      <c r="J19" s="795">
        <f>IF(ISNUMBER(I19/B19),I19/B19," - ")</f>
        <v>1847.5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T6eXTdsewhPmSd2AkLAw/1DRrqv1CUDthiitpBHaEUmhMKCgydS5cMg0VGRGXUpYroxws66d2ByjnRAb0i6cjw==" saltValue="jzMFdwxnlX54Dga/nKNGW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TOLEDO  Resumenes por Partidos Judiciales  ORGAZ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21</v>
      </c>
      <c r="G10" s="684">
        <f>IF(ISNUMBER(Datos!I10),Datos!I10," - ")</f>
        <v>21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3070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77</v>
      </c>
      <c r="AM12" s="690">
        <f>IF(ISNUMBER(Datos!N12+DatosP!N16),Datos!N12+DatosP!N16," - ")</f>
        <v>115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29.932075471698116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1.4540647719762063E-2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21</v>
      </c>
      <c r="G13" s="938">
        <f t="shared" si="0"/>
        <v>21</v>
      </c>
      <c r="H13" s="938">
        <f t="shared" si="0"/>
        <v>0</v>
      </c>
      <c r="I13" s="940">
        <f t="shared" si="0"/>
        <v>0</v>
      </c>
      <c r="J13" s="939">
        <f t="shared" si="0"/>
        <v>0</v>
      </c>
      <c r="K13" s="939">
        <f t="shared" si="0"/>
        <v>0</v>
      </c>
      <c r="L13" s="941">
        <f t="shared" si="0"/>
        <v>0</v>
      </c>
      <c r="M13" s="941">
        <f t="shared" si="0"/>
        <v>0</v>
      </c>
      <c r="N13" s="939">
        <f t="shared" si="0"/>
        <v>67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23</v>
      </c>
      <c r="AE13" s="939">
        <f t="shared" si="1"/>
        <v>0</v>
      </c>
      <c r="AF13" s="939">
        <f t="shared" si="1"/>
        <v>21</v>
      </c>
      <c r="AG13" s="939">
        <f t="shared" si="1"/>
        <v>0</v>
      </c>
      <c r="AH13" s="939">
        <f t="shared" si="1"/>
        <v>3070</v>
      </c>
      <c r="AI13" s="939">
        <f t="shared" si="1"/>
        <v>0</v>
      </c>
      <c r="AJ13" s="939">
        <f t="shared" si="1"/>
        <v>0</v>
      </c>
      <c r="AK13" s="939">
        <f t="shared" si="1"/>
        <v>0</v>
      </c>
      <c r="AL13" s="939">
        <f t="shared" si="1"/>
        <v>77</v>
      </c>
      <c r="AM13" s="939">
        <f t="shared" si="1"/>
        <v>115</v>
      </c>
      <c r="AN13" s="939">
        <f t="shared" si="1"/>
        <v>0</v>
      </c>
      <c r="AO13" s="939">
        <f t="shared" si="1"/>
        <v>0</v>
      </c>
      <c r="AP13" s="944">
        <f>IF(ISNUMBER(((Datos!L13/Datos!K13)*11)/factor_trimestre),((Datos!L13/Datos!K13)*11)/factor_trimestre," - ")</f>
        <v>30.590551181102359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1.4540647719762063E-2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12.023346303501945</v>
      </c>
      <c r="AQ18" s="944">
        <f>IF(ISNUMBER(((Datos!M18/Datos!L18)*11)/factor_trimestre),((Datos!M18/Datos!L18)*11)/factor_trimestre," - ")</f>
        <v>0.13398058252427184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3.2000000000000001E-2</v>
      </c>
      <c r="AW18" s="946">
        <f>IF(ISNUMBER((Datos!Q18-Datos!R18)/(Datos!S18-Datos!Q18+Datos!R18)),(Datos!Q18-Datos!R18)/(Datos!S18-Datos!Q18+Datos!R18)," - ")</f>
        <v>-0.23300090661831369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21</v>
      </c>
      <c r="G19" s="951">
        <f t="shared" si="4"/>
        <v>21</v>
      </c>
      <c r="H19" s="951">
        <f t="shared" si="4"/>
        <v>0</v>
      </c>
      <c r="I19" s="952">
        <f t="shared" si="4"/>
        <v>0</v>
      </c>
      <c r="J19" s="953">
        <f t="shared" si="4"/>
        <v>0</v>
      </c>
      <c r="K19" s="953">
        <f t="shared" si="4"/>
        <v>0</v>
      </c>
      <c r="L19" s="953">
        <f t="shared" si="4"/>
        <v>0</v>
      </c>
      <c r="M19" s="953">
        <f t="shared" si="4"/>
        <v>0</v>
      </c>
      <c r="N19" s="952">
        <f t="shared" si="4"/>
        <v>67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23</v>
      </c>
      <c r="AE19" s="957">
        <f t="shared" si="5"/>
        <v>0</v>
      </c>
      <c r="AF19" s="958">
        <f t="shared" si="5"/>
        <v>21</v>
      </c>
      <c r="AG19" s="958">
        <f t="shared" si="5"/>
        <v>0</v>
      </c>
      <c r="AH19" s="958">
        <f t="shared" si="5"/>
        <v>3070</v>
      </c>
      <c r="AI19" s="958">
        <f t="shared" si="5"/>
        <v>0</v>
      </c>
      <c r="AJ19" s="959">
        <f t="shared" si="5"/>
        <v>0</v>
      </c>
      <c r="AK19" s="959">
        <f t="shared" si="5"/>
        <v>0</v>
      </c>
      <c r="AL19" s="951">
        <f t="shared" si="5"/>
        <v>77</v>
      </c>
      <c r="AM19" s="951">
        <f t="shared" si="5"/>
        <v>115</v>
      </c>
      <c r="AN19" s="951">
        <f t="shared" si="5"/>
        <v>0</v>
      </c>
      <c r="AO19" s="951">
        <f t="shared" si="5"/>
        <v>0</v>
      </c>
      <c r="AP19" s="951">
        <f>IF(ISNUMBER(((Datos!L19/Datos!K19)*11)/factor_trimestre),((Datos!L19/Datos!K19)*11)/factor_trimestre," - ")</f>
        <v>21.252446183953033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1.5843997562461912E-2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12.124355652982141</v>
      </c>
      <c r="G21" s="737">
        <f>IF(ISNUMBER(STDEV(G8:G18)),STDEV(G8:G18),"-")</f>
        <v>12.124355652982141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44.455970727601184</v>
      </c>
      <c r="AM21" s="736"/>
      <c r="AN21" s="736">
        <f>IF(ISNUMBER(STDEV(AN8:AN18)),STDEV(AN8:AN18),"-")</f>
        <v>0</v>
      </c>
      <c r="AO21" s="742">
        <f>IF(ISNUMBER(STDEV(AO8:AO18)),STDEV(AO8:AO18),"-")</f>
        <v>0</v>
      </c>
      <c r="AP21" s="779">
        <f>IF(ISNUMBER(STDEV(AP8:AP18)),STDEV(AP8:AP18),"-")</f>
        <v>10.53484114455825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BfL/2bscOFMkAh+4ZYgoPy54DK9t4Ez8GtPf5pJtp1LGbNdx0smHEmj8BYrddIv1Oegv1C0iUNDAEkWvMDTEoA==" saltValue="oKJycvwRQvS6mGYfdw4Bi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TOLEDO</v>
      </c>
      <c r="C3" s="415"/>
      <c r="F3" s="375"/>
      <c r="G3" s="375"/>
      <c r="H3" s="375"/>
    </row>
    <row r="4" spans="1:15" ht="13.5" thickBot="1">
      <c r="A4" s="375"/>
      <c r="B4" s="391" t="str">
        <f>Criterios!A11 &amp;"  "&amp;Criterios!B11</f>
        <v>Resumenes por Partidos Judiciales  ORGAZ</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7XqC0FBbzreVV6yVuHDNWoh2APgIFnA7+hUvGw7hxED3d7oM4wA89zv5bDGIN32hvYxP6RTz/Bubc+CDf+6pmg==" saltValue="R2lFJh0WkS7Roj4uovVTV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TOLEDO</v>
      </c>
      <c r="C3" s="391"/>
      <c r="D3" s="425"/>
      <c r="BZ3" s="471"/>
    </row>
    <row r="4" spans="1:78" ht="13.5" thickBot="1">
      <c r="B4" s="391" t="str">
        <f>Criterios!A11 &amp;"  "&amp;Criterios!B11</f>
        <v>Resumenes por Partidos Judiciales  ORGAZ</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77</v>
      </c>
      <c r="E12" s="404">
        <f t="shared" si="0"/>
        <v>38.5</v>
      </c>
      <c r="F12" s="403">
        <f>IF(ISNUMBER(Datos!N12),Datos!N12," - ")</f>
        <v>115</v>
      </c>
      <c r="G12" s="404">
        <f t="shared" si="1"/>
        <v>57.5</v>
      </c>
      <c r="H12" s="403">
        <f>IF(ISNUMBER(Datos!O12),Datos!O12," - ")</f>
        <v>103</v>
      </c>
      <c r="I12" s="404">
        <f t="shared" si="2"/>
        <v>51.5</v>
      </c>
      <c r="BZ12" s="1186">
        <f>Datos!EZ12</f>
        <v>0</v>
      </c>
    </row>
    <row r="13" spans="1:78" ht="14.25" thickTop="1" thickBot="1">
      <c r="A13" s="848" t="str">
        <f>Datos!A13</f>
        <v>TOTAL</v>
      </c>
      <c r="B13" s="849">
        <f>Datos!AP13</f>
        <v>2</v>
      </c>
      <c r="C13" s="851">
        <f>Datos!AR13</f>
        <v>2</v>
      </c>
      <c r="D13" s="849">
        <f>SUBTOTAL(9,D9:D12)</f>
        <v>77</v>
      </c>
      <c r="E13" s="850">
        <f t="shared" si="0"/>
        <v>38.5</v>
      </c>
      <c r="F13" s="849">
        <f>SUBTOTAL(9,F9:F12)</f>
        <v>115</v>
      </c>
      <c r="G13" s="850">
        <f t="shared" si="1"/>
        <v>57.5</v>
      </c>
      <c r="H13" s="849">
        <f>SUBTOTAL(9,H9:H12)</f>
        <v>103</v>
      </c>
      <c r="I13" s="850">
        <f>IF(ISNUMBER(H13/B13),H13/B13," - ")</f>
        <v>51.5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46</v>
      </c>
      <c r="E16" s="404">
        <f t="shared" si="3"/>
        <v>23</v>
      </c>
      <c r="F16" s="403">
        <f>IF(ISNUMBER(Datos!N16),Datos!N16," - ")</f>
        <v>137</v>
      </c>
      <c r="G16" s="404">
        <f t="shared" si="4"/>
        <v>68.5</v>
      </c>
      <c r="H16" s="403">
        <f>IF(ISNUMBER(Datos!O16),Datos!O16," - ")</f>
        <v>1</v>
      </c>
      <c r="I16" s="404">
        <f t="shared" si="5"/>
        <v>0.5</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v>
      </c>
      <c r="G17" s="404">
        <f>IF(ISNUMBER(F17/B17),F17/B17," - ")</f>
        <v>1</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46</v>
      </c>
      <c r="E18" s="850">
        <f t="shared" si="3"/>
        <v>23</v>
      </c>
      <c r="F18" s="849">
        <f>SUBTOTAL(9,F15:F17)</f>
        <v>138</v>
      </c>
      <c r="G18" s="850">
        <f t="shared" si="4"/>
        <v>69</v>
      </c>
      <c r="H18" s="849">
        <f>SUBTOTAL(9,H15:H17)</f>
        <v>1</v>
      </c>
      <c r="I18" s="850">
        <f>IF(ISNUMBER(H18/B18),H18/B18," - ")</f>
        <v>0.5</v>
      </c>
      <c r="BZ18" s="1186"/>
    </row>
    <row r="19" spans="1:78" ht="14.25" thickTop="1" thickBot="1">
      <c r="A19" s="793" t="str">
        <f>Datos!A19</f>
        <v>TOTAL JURISDICCIONES</v>
      </c>
      <c r="B19" s="794">
        <f>Datos!AP19</f>
        <v>2</v>
      </c>
      <c r="C19" s="794">
        <f>Datos!AR19</f>
        <v>2</v>
      </c>
      <c r="D19" s="794">
        <f>SUBTOTAL(9,D8:D18)</f>
        <v>123</v>
      </c>
      <c r="E19" s="795">
        <f>IF(ISNUMBER(D19/B19),D19/B19," - ")</f>
        <v>61.5</v>
      </c>
      <c r="F19" s="794">
        <f>SUBTOTAL(9,F8:F18)</f>
        <v>253</v>
      </c>
      <c r="G19" s="795">
        <f>IF(ISNUMBER(F19/B19),F19/B19," - ")</f>
        <v>126.5</v>
      </c>
      <c r="H19" s="794">
        <f>SUBTOTAL(9,H8:H18)</f>
        <v>104</v>
      </c>
      <c r="I19" s="795">
        <f>IF(ISNUMBER(H19/B19),H19/B19," - ")</f>
        <v>52</v>
      </c>
    </row>
    <row r="22" spans="1:78">
      <c r="A22" s="391" t="str">
        <f>Criterios!A4</f>
        <v>Fecha Informe: 24 sep. 2024</v>
      </c>
    </row>
    <row r="27" spans="1:78">
      <c r="A27" s="414"/>
    </row>
  </sheetData>
  <sheetProtection algorithmName="SHA-512" hashValue="IAOn6Oau3VJGBw+ldUQaey3mfXXKtqW4V6Hfq8Hn4Y4DtFW2aU2Jq7WmvaCpWWbR7aBVYOSXbLXDk7nJFrMwLA==" saltValue="DVmTcDre5FyFPyCNVpFxq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TOLEDO</v>
      </c>
    </row>
    <row r="4" spans="1:4" ht="13.5" thickBot="1">
      <c r="B4" s="391" t="str">
        <f>Criterios!A11 &amp;"  "&amp;Criterios!B11</f>
        <v>Resumenes por Partidos Judiciales  ORGAZ</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67</v>
      </c>
      <c r="C12" s="434">
        <f>IF(ISNUMBER(Datos!Q12),Datos!Q12," - ")</f>
        <v>23</v>
      </c>
      <c r="D12" s="408">
        <f>IF(ISNUMBER(Datos!R12),Datos!R12," - ")</f>
        <v>3070</v>
      </c>
    </row>
    <row r="13" spans="1:4" ht="14.25" thickTop="1" thickBot="1">
      <c r="A13" s="848" t="str">
        <f>Datos!A13</f>
        <v>TOTAL</v>
      </c>
      <c r="B13" s="849">
        <f>SUBTOTAL(9,B9:B12)</f>
        <v>67</v>
      </c>
      <c r="C13" s="853">
        <f>SUBTOTAL(9,C9:C12)</f>
        <v>23</v>
      </c>
      <c r="D13" s="851">
        <f>SUBTOTAL(9,D9:D12)</f>
        <v>3076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1</v>
      </c>
      <c r="D16" s="408">
        <f>IF(ISNUMBER(Datos!R16),Datos!R16," - ")</f>
        <v>257</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9</v>
      </c>
      <c r="C18" s="853">
        <f>SUBTOTAL(9,C15:C17)</f>
        <v>1</v>
      </c>
      <c r="D18" s="851">
        <f>SUBTOTAL(9,D15:D17)</f>
        <v>258</v>
      </c>
    </row>
    <row r="19" spans="1:4" ht="16.5" customHeight="1" thickTop="1" thickBot="1">
      <c r="A19" s="793" t="str">
        <f>Datos!A19</f>
        <v>TOTAL JURISDICCIONES</v>
      </c>
      <c r="B19" s="798">
        <f>SUBTOTAL(9,B8:B18)</f>
        <v>76</v>
      </c>
      <c r="C19" s="799">
        <f>SUBTOTAL(9,C8:C18)</f>
        <v>24</v>
      </c>
      <c r="D19" s="800">
        <f>SUBTOTAL(9,D8:D18)</f>
        <v>3334</v>
      </c>
    </row>
    <row r="20" spans="1:4" ht="7.5" customHeight="1"/>
    <row r="21" spans="1:4" ht="6" customHeight="1"/>
    <row r="22" spans="1:4">
      <c r="A22" s="391" t="str">
        <f>Criterios!A4</f>
        <v>Fecha Informe: 24 sep. 2024</v>
      </c>
    </row>
    <row r="27" spans="1:4">
      <c r="A27" s="414"/>
    </row>
  </sheetData>
  <sheetProtection algorithmName="SHA-512" hashValue="Va6bMIKV2YYDVe6yksO57nz/imsWupts1Dn+Ptdj5dv7KBujCMKpUDcvEp+CE8K4sVhXa7hoz1ha71oSksCM7w==" saltValue="v9ohKRIkkbUMcogjcDTuC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TOLEDO</v>
      </c>
    </row>
    <row r="4" spans="1:11" ht="10.5" customHeight="1" thickBot="1">
      <c r="B4" s="391" t="str">
        <f>Criterios!A11 &amp;"  "&amp;Criterios!B11</f>
        <v>Resumenes por Partidos Judiciales  ORGAZ</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0.3125</v>
      </c>
      <c r="C10" s="456">
        <f>IF(ISNUMBER((Datos!J10-Datos!T10)/Datos!T10),(Datos!J10-Datos!T10)/Datos!T10," - ")</f>
        <v>-1</v>
      </c>
      <c r="D10" s="456" t="str">
        <f>IF(ISNUMBER((Datos!K10-Datos!U10)/Datos!U10),(Datos!K10-Datos!U10)/Datos!U10," - ")</f>
        <v xml:space="preserve"> - </v>
      </c>
      <c r="E10" s="456">
        <f>IF(ISNUMBER((Datos!L10-Datos!V10)/Datos!V10),(Datos!L10-Datos!V10)/Datos!V10," - ")</f>
        <v>0.10526315789473684</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0.33664459161147903</v>
      </c>
      <c r="C12" s="456">
        <f>IF(ISNUMBER(
   IF(J_V="SI",(Datos!J12-Datos!T12)/Datos!T12,(Datos!J12+Datos!Z12-(Datos!T12+Datos!AH12))/(Datos!T12+Datos!AH12))
     ),IF(J_V="SI",(Datos!J12-Datos!T12)/Datos!T12,(Datos!J12+Datos!Z12-(Datos!T12+Datos!AH12))/(Datos!T12+Datos!AH12))," - ")</f>
        <v>-8.8014981273408247E-2</v>
      </c>
      <c r="D12" s="456">
        <f>IF(ISNUMBER(
   IF(J_V="SI",(Datos!K12-Datos!U12)/Datos!U12,(Datos!K12+Datos!AA12-(Datos!U12+Datos!AI12))/(Datos!U12+Datos!AI12))
     ),IF(J_V="SI",(Datos!K12-Datos!U12)/Datos!U12,(Datos!K12+Datos!AA12-(Datos!U12+Datos!AI12))/(Datos!U12+Datos!AI12))," - ")</f>
        <v>-0.18461538461538463</v>
      </c>
      <c r="E12" s="456">
        <f>IF(ISNUMBER(
   IF(J_V="SI",(Datos!L12-Datos!V12)/Datos!V12,(Datos!L12+Datos!AB12-(Datos!V12+Datos!AJ12))/(Datos!V12+Datos!AJ12))
     ),IF(J_V="SI",(Datos!L12-Datos!V12)/Datos!V12,(Datos!L12+Datos!AB12-(Datos!V12+Datos!AJ12))/(Datos!V12+Datos!AJ12))," - ")</f>
        <v>0.30826323602177141</v>
      </c>
      <c r="F12" s="456">
        <f>IF(ISNUMBER((Datos!M12-Datos!W12)/Datos!W12),(Datos!M12-Datos!W12)/Datos!W12," - ")</f>
        <v>4.0540540540540543E-2</v>
      </c>
      <c r="G12" s="457">
        <f>IF(ISNUMBER((Datos!N12-Datos!X12)/Datos!X12),(Datos!N12-Datos!X12)/Datos!X12," - ")</f>
        <v>-0.37158469945355194</v>
      </c>
      <c r="H12" s="455">
        <f>IF(ISNUMBER(((NºAsuntos!G12/NºAsuntos!E12)-Datos!BD12)/Datos!BD12),((NºAsuntos!G12/NºAsuntos!E12)-Datos!BD12)/Datos!BD12," - ")</f>
        <v>-0.10592323487600699</v>
      </c>
      <c r="I12" s="456">
        <f>IF(ISNUMBER(((NºAsuntos!I12/NºAsuntos!G12)-Datos!BE12)/Datos!BE12),((NºAsuntos!I12/NºAsuntos!G12)-Datos!BE12)/Datos!BE12," - ")</f>
        <v>0.60447378002670094</v>
      </c>
      <c r="J12" s="461">
        <f>IF(ISNUMBER((('Resol  Asuntos'!D12/NºAsuntos!G12)-Datos!BF12)/Datos!BF12),(('Resol  Asuntos'!D12/NºAsuntos!G12)-Datos!BF12)/Datos!BF12," - ")</f>
        <v>-0.4839674193215795</v>
      </c>
      <c r="K12" s="462">
        <f>IF(ISNUMBER((((NºAsuntos!C12+NºAsuntos!E12)/NºAsuntos!G12)-Datos!BG12)/Datos!BG12),(((NºAsuntos!C12+NºAsuntos!E12)/NºAsuntos!G12)-Datos!BG12)/Datos!BG12," - ")</f>
        <v>0.52073380623783572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0.33643326039387311</v>
      </c>
      <c r="C13" s="855">
        <f>IF(ISNUMBER(
   IF(J_V="SI",(Datos!J13-Datos!T13)/Datos!T13,(Datos!J13+Datos!Z13-(Datos!T13+Datos!AH13))/(Datos!T13+Datos!AH13))
     ),IF(J_V="SI",(Datos!J13-Datos!T13)/Datos!T13,(Datos!J13+Datos!Z13-(Datos!T13+Datos!AH13))/(Datos!T13+Datos!AH13))," - ")</f>
        <v>-9.3109869646182494E-2</v>
      </c>
      <c r="D13" s="855">
        <f>IF(ISNUMBER(
   IF(J_V="SI",(Datos!K13-Datos!U13)/Datos!U13,(Datos!K13+Datos!AA13-(Datos!U13+Datos!AI13))/(Datos!U13+Datos!AI13))
     ),IF(J_V="SI",(Datos!K13-Datos!U13)/Datos!U13,(Datos!K13+Datos!AA13-(Datos!U13+Datos!AI13))/(Datos!U13+Datos!AI13))," - ")</f>
        <v>-0.18461538461538463</v>
      </c>
      <c r="E13" s="855">
        <f>IF(ISNUMBER(
   IF(J_V="SI",(Datos!L13-Datos!V13)/Datos!V13,(Datos!L13+Datos!AB13-(Datos!V13+Datos!AJ13))/(Datos!V13+Datos!AJ13))
     ),IF(J_V="SI",(Datos!L13-Datos!V13)/Datos!V13,(Datos!L13+Datos!AB13-(Datos!V13+Datos!AJ13))/(Datos!V13+Datos!AJ13))," - ")</f>
        <v>0.30637254901960786</v>
      </c>
      <c r="F13" s="856">
        <f>IF(ISNUMBER((Datos!M13-Datos!W13)/Datos!W13),(Datos!M13-Datos!W13)/Datos!W13," - ")</f>
        <v>4.0540540540540543E-2</v>
      </c>
      <c r="G13" s="857">
        <f>IF(ISNUMBER((Datos!N13-Datos!X13)/Datos!X13),(Datos!N13-Datos!X13)/Datos!X13," - ")</f>
        <v>-0.37158469945355194</v>
      </c>
      <c r="H13" s="857">
        <f>IF(ISNUMBER(((NºAsuntos!G13/NºAsuntos!E13)-Datos!BD13)/Datos!BD13),((NºAsuntos!G13/NºAsuntos!E13)-Datos!BD13)/Datos!BD13," - ")</f>
        <v>-0.10090033170115299</v>
      </c>
      <c r="I13" s="857">
        <f>IF(ISNUMBER(((NºAsuntos!I13/NºAsuntos!G13)-Datos!BE13)/Datos!BE13),((NºAsuntos!I13/NºAsuntos!G13)-Datos!BE13)/Datos!BE13," - ")</f>
        <v>0.60215501294857565</v>
      </c>
      <c r="J13" s="857">
        <f>IF(ISNUMBER((('Resol  Asuntos'!D13/NºAsuntos!G13)-Datos!BF13)/Datos!BF13),(('Resol  Asuntos'!D13/NºAsuntos!G13)-Datos!BF13)/Datos!BF13," - ")</f>
        <v>-0.4839674193215795</v>
      </c>
      <c r="K13" s="857">
        <f>IF(ISNUMBER((((NºAsuntos!C13+NºAsuntos!E13)/NºAsuntos!G13)-Datos!BG13)/Datos!BG13),(((NºAsuntos!C13+NºAsuntos!E13)/NºAsuntos!G13)-Datos!BG13)/Datos!BG13," - ")</f>
        <v>0.51940643823048382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0.17705735660847879</v>
      </c>
      <c r="C16" s="456">
        <f>IF(ISNUMBER(
   IF(D_I="SI",(Datos!J16-Datos!T16)/Datos!T16,(Datos!J16+Datos!AD16-(Datos!T16+Datos!AL16))/(Datos!T16+Datos!AL16))
     ),IF(D_I="SI",(Datos!J16-Datos!T16)/Datos!T16,(Datos!J16+Datos!AD16-(Datos!T16+Datos!AL16))/(Datos!T16+Datos!AL16))," - ")</f>
        <v>-0.3549107142857143</v>
      </c>
      <c r="D16" s="456">
        <f>IF(ISNUMBER(
   IF(D_I="SI",(Datos!K16-Datos!U16)/Datos!U16,(Datos!K16+Datos!AE16-(Datos!U16+Datos!AM16))/(Datos!U16+Datos!AM16))
     ),IF(D_I="SI",(Datos!K16-Datos!U16)/Datos!U16,(Datos!K16+Datos!AE16-(Datos!U16+Datos!AM16))/(Datos!U16+Datos!AM16))," - ")</f>
        <v>-0.27478753541076489</v>
      </c>
      <c r="E16" s="456">
        <f>IF(ISNUMBER(
   IF(D_I="SI",(Datos!L16-Datos!V16)/Datos!V16,(Datos!L16+Datos!AF16-(Datos!V16+Datos!AN16))/(Datos!V16+Datos!AN16))
     ),IF(D_I="SI",(Datos!L16-Datos!V16)/Datos!V16,(Datos!L16+Datos!AF16-(Datos!V16+Datos!AN16))/(Datos!V16+Datos!AN16))," - ")</f>
        <v>8.9186176142697887E-2</v>
      </c>
      <c r="F16" s="456">
        <f>IF(ISNUMBER((Datos!M16-Datos!W16)/Datos!W16),(Datos!M16-Datos!W16)/Datos!W16," - ")</f>
        <v>0</v>
      </c>
      <c r="G16" s="457">
        <f>IF(ISNUMBER((Datos!N16-Datos!X16)/Datos!X16),(Datos!N16-Datos!X16)/Datos!X16," - ")</f>
        <v>-0.40692640692640691</v>
      </c>
      <c r="H16" s="455">
        <f>IF(ISNUMBER(((NºAsuntos!G16/NºAsuntos!E16)-Datos!BD16)/Datos!BD16),((NºAsuntos!G16/NºAsuntos!E16)-Datos!BD16)/Datos!BD16," - ")</f>
        <v>0.12420478939784545</v>
      </c>
      <c r="I16" s="456">
        <f>IF(ISNUMBER(((NºAsuntos!I16/NºAsuntos!G16)-Datos!BE16)/Datos!BE16),((NºAsuntos!I16/NºAsuntos!G16)-Datos!BE16)/Datos!BE16," - ")</f>
        <v>0.50188562569676698</v>
      </c>
      <c r="J16" s="461">
        <f>IF(ISNUMBER((('Resol  Asuntos'!D16/NºAsuntos!G16)-Datos!BF16)/Datos!BF16),(('Resol  Asuntos'!D16/NºAsuntos!G16)-Datos!BF16)/Datos!BF16," - ")</f>
        <v>0.37890625000000006</v>
      </c>
      <c r="K16" s="462">
        <f>IF(ISNUMBER((((NºAsuntos!C16+NºAsuntos!E16)/NºAsuntos!G16)-Datos!BG16)/Datos!BG16),(((NºAsuntos!C16+NºAsuntos!E16)/NºAsuntos!G16)-Datos!BG16)/Datos!BG16," - ")</f>
        <v>0.36015312499999996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0.22727272727272727</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-0.96875</v>
      </c>
      <c r="E17" s="456">
        <f>IF(ISNUMBER(
   IF(D_I="SI",(Datos!L17-Datos!V17)/Datos!V17,(Datos!L17+Datos!AF17-(Datos!V17+Datos!AN17))/(Datos!V17+Datos!AN17))
     ),IF(D_I="SI",(Datos!L17-Datos!V17)/Datos!V17,(Datos!L17+Datos!AF17-(Datos!V17+Datos!AN17))/(Datos!V17+Datos!AN17))," - ")</f>
        <v>8.1632653061224483E-2</v>
      </c>
      <c r="F17" s="456">
        <f>IF(ISNUMBER((Datos!M17-Datos!W17)/Datos!W17),(Datos!M17-Datos!W17)/Datos!W17," - ")</f>
        <v>-1</v>
      </c>
      <c r="G17" s="457">
        <f>IF(ISNUMBER((Datos!N17-Datos!X17)/Datos!X17),(Datos!N17-Datos!X17)/Datos!X17," - ")</f>
        <v>-0.95238095238095233</v>
      </c>
      <c r="H17" s="455" t="str">
        <f>IF(ISNUMBER(((NºAsuntos!G17/NºAsuntos!E17)-Datos!BD17)/Datos!BD17),((NºAsuntos!G17/NºAsuntos!E17)-Datos!BD17)/Datos!BD17," - ")</f>
        <v xml:space="preserve"> - </v>
      </c>
      <c r="I17" s="456">
        <f>IF(ISNUMBER(((NºAsuntos!I17/NºAsuntos!G17)-Datos!BE17)/Datos!BE17),((NºAsuntos!I17/NºAsuntos!G17)-Datos!BE17)/Datos!BE17," - ")</f>
        <v>33.612244897959187</v>
      </c>
      <c r="J17" s="461">
        <f>IF(ISNUMBER((('Resol  Asuntos'!D17/NºAsuntos!G17)-Datos!BF17)/Datos!BF17),(('Resol  Asuntos'!D17/NºAsuntos!G17)-Datos!BF17)/Datos!BF17," - ")</f>
        <v>-1</v>
      </c>
      <c r="K17" s="462">
        <f>IF(ISNUMBER((((NºAsuntos!C17+NºAsuntos!E17)/NºAsuntos!G17)-Datos!BG17)/Datos!BG17),(((NºAsuntos!C17+NºAsuntos!E17)/NºAsuntos!G17)-Datos!BG17)/Datos!BG17," - ")</f>
        <v>20.333333333333332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0.17966903073286053</v>
      </c>
      <c r="C18" s="855">
        <f>IF(ISNUMBER(
   IF(Criterios!B14="SI",(Datos!J18-Datos!T18)/Datos!T18,(Datos!J18+Datos!AD18-(Datos!T18+Datos!AL18))/(Datos!T18+Datos!AL18))
     ),IF(Criterios!B14="SI",(Datos!J18-Datos!T18)/Datos!T18,(Datos!J18+Datos!AD18-(Datos!T18+Datos!AL18))/(Datos!T18+Datos!AL18))," - ")</f>
        <v>-0.40412371134020619</v>
      </c>
      <c r="D18" s="855">
        <f>IF(ISNUMBER(
   IF(Criterios!B14="SI",(Datos!K18-Datos!U18)/Datos!U18,(Datos!K18+Datos!AE18-(Datos!U18+Datos!AM18))/(Datos!U18+Datos!AM18))
     ),IF(Criterios!B14="SI",(Datos!K18-Datos!U18)/Datos!U18,(Datos!K18+Datos!AE18-(Datos!U18+Datos!AM18))/(Datos!U18+Datos!AM18))," - ")</f>
        <v>-0.33246753246753247</v>
      </c>
      <c r="E18" s="855">
        <f>IF(ISNUMBER(
   IF(Criterios!B14="SI",(Datos!L18-Datos!V18)/Datos!V18,(Datos!L18+Datos!AF18-(Datos!V18+Datos!AN18))/(Datos!V18+Datos!AN18))
     ),IF(Criterios!B14="SI",(Datos!L18-Datos!V18)/Datos!V18,(Datos!L18+Datos!AF18-(Datos!V18+Datos!AN18))/(Datos!V18+Datos!AN18))," - ")</f>
        <v>8.8794926004228336E-2</v>
      </c>
      <c r="F18" s="856">
        <f>IF(ISNUMBER((Datos!M18-Datos!W18)/Datos!W18),(Datos!M18-Datos!W18)/Datos!W18," - ")</f>
        <v>-0.16363636363636364</v>
      </c>
      <c r="G18" s="857">
        <f>IF(ISNUMBER((Datos!N18-Datos!X18)/Datos!X18),(Datos!N18-Datos!X18)/Datos!X18," - ")</f>
        <v>-0.45238095238095238</v>
      </c>
      <c r="H18" s="857">
        <f>IF(ISNUMBER(((NºAsuntos!G18/NºAsuntos!E18)-Datos!BD18)/Datos!BD18),((NºAsuntos!G18/NºAsuntos!E18)-Datos!BD18)/Datos!BD18," - ")</f>
        <v>0.12025344897317218</v>
      </c>
      <c r="I18" s="857">
        <f>IF(ISNUMBER(((NºAsuntos!I18/NºAsuntos!G18)-Datos!BE18)/Datos!BE18),((NºAsuntos!I18/NºAsuntos!G18)-Datos!BE18)/Datos!BE18," - ")</f>
        <v>0.63107411094018628</v>
      </c>
      <c r="J18" s="857">
        <f>IF(ISNUMBER((('Resol  Asuntos'!D18/NºAsuntos!G18)-Datos!BF18)/Datos!BF18),(('Resol  Asuntos'!D18/NºAsuntos!G18)-Datos!BF18)/Datos!BF18," - ")</f>
        <v>0.25291828793774329</v>
      </c>
      <c r="K18" s="857">
        <f>IF(ISNUMBER((((NºAsuntos!C18+NºAsuntos!E18)/NºAsuntos!G18)-Datos!BG18)/Datos!BG18),(((NºAsuntos!C18+NºAsuntos!E18)/NºAsuntos!G18)-Datos!BG18)/Datos!BG18," - ")</f>
        <v>0.44853201273434729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0.2868362004487659</v>
      </c>
      <c r="C19" s="802">
        <f>IF(ISNUMBER(
   IF(J_V="SI",(Datos!J19-Datos!T19)/Datos!T19,(Datos!J19+Datos!Z19-(Datos!T19+Datos!AH19))/(Datos!T19+Datos!AH19))
     ),IF(J_V="SI",(Datos!J19-Datos!T19)/Datos!T19,(Datos!J19+Datos!Z19-(Datos!T19+Datos!AH19))/(Datos!T19+Datos!AH19))," - ")</f>
        <v>-0.24070450097847357</v>
      </c>
      <c r="D19" s="802">
        <f>IF(ISNUMBER(
   IF(J_V="SI",(Datos!K19-Datos!U19)/Datos!U19,(Datos!K19+Datos!AA19-(Datos!U19+Datos!AI19))/(Datos!U19+Datos!AI19))
     ),IF(J_V="SI",(Datos!K19-Datos!U19)/Datos!U19,(Datos!K19+Datos!AA19-(Datos!U19+Datos!AI19))/(Datos!U19+Datos!AI19))," - ")</f>
        <v>-0.26478873239436618</v>
      </c>
      <c r="E19" s="802">
        <f>IF(ISNUMBER(
   IF(J_V="SI",(Datos!L19-Datos!V19)/Datos!V19,(Datos!L19+Datos!AB19-(Datos!V19+Datos!AJ19))/(Datos!V19+Datos!AJ19))
     ),IF(J_V="SI",(Datos!L19-Datos!V19)/Datos!V19,(Datos!L19+Datos!AB19-(Datos!V19+Datos!AJ19))/(Datos!V19+Datos!AJ19))," - ")</f>
        <v>0.23744139316811788</v>
      </c>
      <c r="F19" s="803">
        <f>IF(ISNUMBER((Datos!M19-Datos!W19)/Datos!W19),(Datos!M19-Datos!W19)/Datos!W19," - ")</f>
        <v>-4.6511627906976744E-2</v>
      </c>
      <c r="G19" s="804">
        <f>IF(ISNUMBER((Datos!N19-Datos!X19)/Datos!X19),(Datos!N19-Datos!X19)/Datos!X19," - ")</f>
        <v>-0.41839080459770117</v>
      </c>
      <c r="H19" s="805">
        <f>IF(ISNUMBER((Tasas!B19-Datos!BD19)/Datos!BD19),(Tasas!B19-Datos!BD19)/Datos!BD19," - ")</f>
        <v>-3.171918106577605E-2</v>
      </c>
      <c r="I19" s="806">
        <f>IF(ISNUMBER((Tasas!C19-Datos!BE19)/Datos!BE19),(Tasas!C19-Datos!BE19)/Datos!BE19," - ")</f>
        <v>0.6831099408991641</v>
      </c>
      <c r="J19" s="807">
        <f>IF(ISNUMBER((Tasas!D19-Datos!BF19)/Datos!BF19),(Tasas!D19-Datos!BF19)/Datos!BF19," - ")</f>
        <v>-0.29706365304742588</v>
      </c>
      <c r="K19" s="807">
        <f>IF(ISNUMBER((Tasas!E19-Datos!BG19)/Datos!BG19),(Tasas!E19-Datos!BG19)/Datos!BG19," - ")</f>
        <v>0.55188481697102398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O+9kW6XGCDKcquIB64SSPzxHw7AcGIecWa812C/q0lYS1/ETbeYzaf71UqboyUtd2U8rV7/Tvw24DNdOIg/bg==" saltValue="pakxVvBAQG2T7Vbb6g+yI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TOLEDO</v>
      </c>
    </row>
    <row r="4" spans="1:7" ht="11.25" customHeight="1" thickBot="1">
      <c r="B4" s="391" t="str">
        <f>Criterios!A11 &amp;"  "&amp;Criterios!B11</f>
        <v>Resumenes por Partidos Judiciales  ORGAZ</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0.54414784394250515</v>
      </c>
      <c r="C12" s="443">
        <f>IF(ISNUMBER(NºAsuntos!I12/NºAsuntos!G12),NºAsuntos!I12/NºAsuntos!G12," - ")</f>
        <v>9.9773584905660382</v>
      </c>
      <c r="D12" s="444">
        <f>IF(ISNUMBER('Resol  Asuntos'!D12/NºAsuntos!G12),'Resol  Asuntos'!D12/NºAsuntos!G12," - ")</f>
        <v>0.29056603773584905</v>
      </c>
      <c r="E12" s="445">
        <f>IF(ISNUMBER((NºAsuntos!C12+NºAsuntos!E12)/NºAsuntos!G12),(NºAsuntos!C12+NºAsuntos!E12)/NºAsuntos!G12," - ")</f>
        <v>10.977358490566038</v>
      </c>
      <c r="G12" s="463"/>
    </row>
    <row r="13" spans="1:7" ht="14.25" thickTop="1" thickBot="1">
      <c r="A13" s="848" t="str">
        <f>Datos!A13</f>
        <v>TOTAL</v>
      </c>
      <c r="B13" s="858">
        <f>IF(ISNUMBER(NºAsuntos!G13/NºAsuntos!E13),NºAsuntos!G13/NºAsuntos!E13," - ")</f>
        <v>0.54414784394250515</v>
      </c>
      <c r="C13" s="859">
        <f>IF(ISNUMBER(NºAsuntos!I13/NºAsuntos!G13),NºAsuntos!I13/NºAsuntos!G13," - ")</f>
        <v>10.056603773584905</v>
      </c>
      <c r="D13" s="860">
        <f>IF(ISNUMBER('Resol  Asuntos'!D13/NºAsuntos!G13),'Resol  Asuntos'!D13/NºAsuntos!G13," - ")</f>
        <v>0.29056603773584905</v>
      </c>
      <c r="E13" s="861">
        <f>IF(ISNUMBER((NºAsuntos!C13+NºAsuntos!E13)/NºAsuntos!G13),(NºAsuntos!C13+NºAsuntos!E13)/NºAsuntos!G13," - ")</f>
        <v>11.056603773584905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0.88581314878892736</v>
      </c>
      <c r="C16" s="443">
        <f>IF(ISNUMBER(NºAsuntos!I16/NºAsuntos!G16),NºAsuntos!I16/NºAsuntos!G16," - ")</f>
        <v>3.81640625</v>
      </c>
      <c r="D16" s="444">
        <f>IF(ISNUMBER('Resol  Asuntos'!D16/NºAsuntos!G16),'Resol  Asuntos'!D16/NºAsuntos!G16," - ")</f>
        <v>0.1796875</v>
      </c>
      <c r="E16" s="445">
        <f>IF(ISNUMBER((NºAsuntos!C16+NºAsuntos!E16)/NºAsuntos!G16),(NºAsuntos!C16+NºAsuntos!E16)/NºAsuntos!G16," - ")</f>
        <v>4.81640625</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53</v>
      </c>
      <c r="D17" s="444">
        <f>IF(ISNUMBER('Resol  Asuntos'!D17/NºAsuntos!G17),'Resol  Asuntos'!D17/NºAsuntos!G17," - ")</f>
        <v>0</v>
      </c>
      <c r="E17" s="445">
        <f>IF(ISNUMBER((NºAsuntos!C17+NºAsuntos!E17)/NºAsuntos!G17),(NºAsuntos!C17+NºAsuntos!E17)/NºAsuntos!G17," - ")</f>
        <v>54</v>
      </c>
      <c r="G17" s="463"/>
    </row>
    <row r="18" spans="1:7" ht="14.25" thickTop="1" thickBot="1">
      <c r="A18" s="848" t="str">
        <f>Datos!A18</f>
        <v>TOTAL</v>
      </c>
      <c r="B18" s="858">
        <f>IF(ISNUMBER(NºAsuntos!G18/NºAsuntos!E18),NºAsuntos!G18/NºAsuntos!E18," - ")</f>
        <v>0.88927335640138405</v>
      </c>
      <c r="C18" s="859">
        <f>IF(ISNUMBER(NºAsuntos!I18/NºAsuntos!G18),NºAsuntos!I18/NºAsuntos!G18," - ")</f>
        <v>4.0077821011673151</v>
      </c>
      <c r="D18" s="862">
        <f>IF(ISNUMBER('Resol  Asuntos'!D18/NºAsuntos!G18),'Resol  Asuntos'!D18/NºAsuntos!G18," - ")</f>
        <v>0.17898832684824903</v>
      </c>
      <c r="E18" s="861">
        <f>IF(ISNUMBER((NºAsuntos!C18+NºAsuntos!E18)/NºAsuntos!G18),(NºAsuntos!C18+NºAsuntos!E18)/NºAsuntos!G18," - ")</f>
        <v>5.0077821011673151</v>
      </c>
      <c r="G18" s="463"/>
    </row>
    <row r="19" spans="1:7" ht="15.75" customHeight="1" thickTop="1" thickBot="1">
      <c r="A19" s="793" t="str">
        <f>Datos!A19</f>
        <v>TOTAL JURISDICCIONES</v>
      </c>
      <c r="B19" s="808">
        <f>IF(ISNUMBER(NºAsuntos!G19/NºAsuntos!E19),NºAsuntos!G19/NºAsuntos!E19," - ")</f>
        <v>0.67268041237113407</v>
      </c>
      <c r="C19" s="809">
        <f>IF(ISNUMBER(NºAsuntos!I19/NºAsuntos!G19),NºAsuntos!I19/NºAsuntos!G19," - ")</f>
        <v>7.078544061302682</v>
      </c>
      <c r="D19" s="810">
        <f>IF(ISNUMBER('Resol  Asuntos'!D19/NºAsuntos!G19),'Resol  Asuntos'!D19/NºAsuntos!G19," - ")</f>
        <v>0.23563218390804597</v>
      </c>
      <c r="E19" s="811">
        <f>IF(ISNUMBER((NºAsuntos!C19+NºAsuntos!E19)/NºAsuntos!G19),(NºAsuntos!C19+NºAsuntos!E19)/NºAsuntos!G19," - ")</f>
        <v>8.0785440613026829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v3P0k+WZt1ERzecjf0jHYXMSep9VBMnFe5B8SS/eo65qA71By7bgixKYJiUT2iOZPV3gi9Gl44fPGF3jaAL2A==" saltValue="8FJxU4tfSbKmW2J7OIqzD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TOLEDO</v>
      </c>
      <c r="N2" s="262" t="str">
        <f>Criterios!A11 &amp;"  "&amp;Criterios!B11</f>
        <v>Resumenes por Partidos Judiciales  ORGAZ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21</v>
      </c>
      <c r="G10" s="333">
        <f>IF(ISNUMBER(Datos!I10),Datos!I10," - ")</f>
        <v>21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21</v>
      </c>
      <c r="AB10" s="334">
        <f>IF(ISNUMBER(Datos!R10),Datos!R10," - ")</f>
        <v>6</v>
      </c>
      <c r="AC10" s="334">
        <f t="shared" ref="AC10:AC12" si="1">IF(ISNUMBER(AA10+AB10),AA10+AB10," - ")</f>
        <v>27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23</v>
      </c>
      <c r="Y12" s="334">
        <f t="shared" si="0"/>
        <v>23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3070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77</v>
      </c>
      <c r="AJ12" s="229" t="str">
        <f>IF(ISNUMBER(Datos!BW12),Datos!BW12," - ")</f>
        <v xml:space="preserve"> - </v>
      </c>
      <c r="AK12" s="228" t="str">
        <f>IF(ISNUMBER(Datos!BX12),Datos!BX12," - ")</f>
        <v xml:space="preserve"> - </v>
      </c>
      <c r="AL12" s="243">
        <f>IF(ISNUMBER(NºAsuntos!G12/NºAsuntos!E12),NºAsuntos!G12/NºAsuntos!E12," - ")</f>
        <v>0.54414784394250515</v>
      </c>
      <c r="AM12" s="260">
        <f>IF(ISNUMBER(((NºAsuntos!I12/NºAsuntos!G12)*11)/factor_trimestre),((NºAsuntos!I12/NºAsuntos!G12)*11)/factor_trimestre," - ")</f>
        <v>29.932075471698116</v>
      </c>
      <c r="AN12" s="244">
        <f>IF(ISNUMBER('Resol  Asuntos'!D12/NºAsuntos!G12),'Resol  Asuntos'!D12/NºAsuntos!G12," - ")</f>
        <v>0.29056603773584905</v>
      </c>
      <c r="AO12" s="245">
        <f>IF(ISNUMBER((NºAsuntos!C12+NºAsuntos!E12)/NºAsuntos!G12),(NºAsuntos!C12+NºAsuntos!E12)/NºAsuntos!G12," - ")</f>
        <v>10.977358490566038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21</v>
      </c>
      <c r="G13" s="866">
        <f t="shared" si="3"/>
        <v>21</v>
      </c>
      <c r="H13" s="865">
        <f t="shared" si="3"/>
        <v>0</v>
      </c>
      <c r="I13" s="867">
        <f t="shared" si="3"/>
        <v>0</v>
      </c>
      <c r="J13" s="867">
        <f t="shared" si="3"/>
        <v>0</v>
      </c>
      <c r="K13" s="867">
        <f t="shared" si="3"/>
        <v>0</v>
      </c>
      <c r="L13" s="867">
        <f t="shared" si="3"/>
        <v>67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23</v>
      </c>
      <c r="Y13" s="868">
        <f t="shared" si="4"/>
        <v>23</v>
      </c>
      <c r="Z13" s="868">
        <f t="shared" si="4"/>
        <v>0</v>
      </c>
      <c r="AA13" s="868">
        <f t="shared" si="4"/>
        <v>21</v>
      </c>
      <c r="AB13" s="868">
        <f t="shared" si="4"/>
        <v>3076</v>
      </c>
      <c r="AC13" s="868">
        <f t="shared" si="4"/>
        <v>27</v>
      </c>
      <c r="AD13" s="868">
        <f t="shared" si="4"/>
        <v>0</v>
      </c>
      <c r="AE13" s="872">
        <f t="shared" si="4"/>
        <v>0</v>
      </c>
      <c r="AF13" s="865">
        <f t="shared" si="4"/>
        <v>0</v>
      </c>
      <c r="AG13" s="873">
        <f t="shared" si="4"/>
        <v>0</v>
      </c>
      <c r="AH13" s="870">
        <f t="shared" si="4"/>
        <v>0</v>
      </c>
      <c r="AI13" s="865">
        <f t="shared" si="4"/>
        <v>77</v>
      </c>
      <c r="AJ13" s="867">
        <f t="shared" si="4"/>
        <v>0</v>
      </c>
      <c r="AK13" s="870">
        <f>SUBTOTAL(9,AK9:AK12)</f>
        <v>0</v>
      </c>
      <c r="AL13" s="874">
        <f>IF(ISNUMBER(NºAsuntos!G13/NºAsuntos!E13),NºAsuntos!G13/NºAsuntos!E13," - ")</f>
        <v>0.54414784394250515</v>
      </c>
      <c r="AM13" s="874">
        <f>IF(ISNUMBER(((NºAsuntos!I13/NºAsuntos!G13)*11)/factor_trimestre),((NºAsuntos!I13/NºAsuntos!G13)*11)/factor_trimestre," - ")</f>
        <v>30.169811320754718</v>
      </c>
      <c r="AN13" s="875">
        <f>IF(ISNUMBER('Resol  Asuntos'!D13/NºAsuntos!G13),'Resol  Asuntos'!D13/NºAsuntos!G13," - ")</f>
        <v>0.29056603773584905</v>
      </c>
      <c r="AO13" s="876">
        <f>IF(ISNUMBER((NºAsuntos!C13+NºAsuntos!E13)/NºAsuntos!G13),(NºAsuntos!C13+NºAsuntos!E13)/NºAsuntos!G13," - ")</f>
        <v>11.056603773584905</v>
      </c>
      <c r="AP13" s="877" t="str">
        <f t="shared" si="2"/>
        <v xml:space="preserve"> - </v>
      </c>
      <c r="AQ13" s="877">
        <f>IF(ISNUMBER((H13-W13+K13)/(F13)),(H13-W13+K13)/(F13)," - ")</f>
        <v>0</v>
      </c>
      <c r="AR13" s="878">
        <f>IF(ISNUMBER((Datos!P13-Datos!Q13)/(Datos!R13-Datos!P13+Datos!Q13)),(Datos!P13-Datos!Q13)/(Datos!R13-Datos!P13+Datos!Q13)," - ")</f>
        <v>1.4511873350923483E-2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944</v>
      </c>
      <c r="G16" s="333">
        <f>IF(ISNUMBER(IF(D_I="SI",Datos!I16,Datos!I16+Datos!AC16)),IF(D_I="SI",Datos!I16,Datos!I16+Datos!AC16)," - ")</f>
        <v>944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256</v>
      </c>
      <c r="X16" s="226">
        <f>IF(ISNUMBER(Datos!Q16),Datos!Q16," - ")</f>
        <v>1</v>
      </c>
      <c r="Y16" s="334">
        <f t="shared" ref="Y16:Y17" si="7">SUM(W16:X16)</f>
        <v>257</v>
      </c>
      <c r="Z16" s="335" t="str">
        <f>IF(ISNUMBER(Datos!CC16),Datos!CC16," - ")</f>
        <v xml:space="preserve"> - </v>
      </c>
      <c r="AA16" s="332">
        <f>IF(ISNUMBER(IF(D_I="SI",Datos!L16,Datos!L16+Datos!AF16)),IF(D_I="SI",Datos!L16,Datos!L16+Datos!AF16)," - ")</f>
        <v>977</v>
      </c>
      <c r="AB16" s="334">
        <f>IF(ISNUMBER(Datos!R16),Datos!R16," - ")</f>
        <v>257</v>
      </c>
      <c r="AC16" s="334">
        <f t="shared" si="6"/>
        <v>1234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46</v>
      </c>
      <c r="AJ16" s="231" t="str">
        <f>IF(ISNUMBER(Datos!BW16),Datos!BW16," - ")</f>
        <v xml:space="preserve"> - </v>
      </c>
      <c r="AK16" s="232" t="str">
        <f>IF(ISNUMBER(Datos!BX16),Datos!BX16," - ")</f>
        <v xml:space="preserve"> - </v>
      </c>
      <c r="AL16" s="243">
        <f>IF(ISNUMBER(NºAsuntos!G16/NºAsuntos!E16),NºAsuntos!G16/NºAsuntos!E16," - ")</f>
        <v>0.88581314878892736</v>
      </c>
      <c r="AM16" s="260">
        <f>IF(ISNUMBER(((NºAsuntos!I16/NºAsuntos!G16)*11)/factor_trimestre),((NºAsuntos!I16/NºAsuntos!G16)*11)/factor_trimestre," - ")</f>
        <v>11.44921875</v>
      </c>
      <c r="AN16" s="244">
        <f>IF(ISNUMBER('Resol  Asuntos'!D16/NºAsuntos!G16),'Resol  Asuntos'!D16/NºAsuntos!G16," - ")</f>
        <v>0.1796875</v>
      </c>
      <c r="AO16" s="245">
        <f>IF(ISNUMBER((NºAsuntos!C16+NºAsuntos!E16)/NºAsuntos!G16),(NºAsuntos!C16+NºAsuntos!E16)/NºAsuntos!G16," - ")</f>
        <v>4.81640625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v>
      </c>
      <c r="X17" s="226">
        <f>IF(ISNUMBER(Datos!Q17),Datos!Q17," - ")</f>
        <v>0</v>
      </c>
      <c r="Y17" s="334">
        <f t="shared" si="7"/>
        <v>1</v>
      </c>
      <c r="Z17" s="335" t="str">
        <f>IF(ISNUMBER(Datos!CC17),Datos!CC17," - ")</f>
        <v xml:space="preserve"> - </v>
      </c>
      <c r="AA17" s="332">
        <f>IF(ISNUMBER(Datos!L17),Datos!L17,"-")</f>
        <v>53</v>
      </c>
      <c r="AB17" s="334">
        <f>IF(ISNUMBER(Datos!R17),Datos!R17," - ")</f>
        <v>1</v>
      </c>
      <c r="AC17" s="334">
        <f t="shared" si="6"/>
        <v>54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159</v>
      </c>
      <c r="AN17" s="244">
        <f>IF(ISNUMBER('Resol  Asuntos'!D17/NºAsuntos!G17),'Resol  Asuntos'!D17/NºAsuntos!G17," - ")</f>
        <v>0</v>
      </c>
      <c r="AO17" s="245">
        <f>IF(ISNUMBER((NºAsuntos!C17+NºAsuntos!E17)/NºAsuntos!G17),(NºAsuntos!C17+NºAsuntos!E17)/NºAsuntos!G17," - ")</f>
        <v>54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944</v>
      </c>
      <c r="G18" s="866">
        <f>SUBTOTAL(9,G15:G17)</f>
        <v>998</v>
      </c>
      <c r="H18" s="865">
        <f t="shared" ref="H18:O18" si="10">SUBTOTAL(9,H14:H17)</f>
        <v>0</v>
      </c>
      <c r="I18" s="867">
        <f t="shared" si="10"/>
        <v>0</v>
      </c>
      <c r="J18" s="867">
        <f t="shared" si="10"/>
        <v>0</v>
      </c>
      <c r="K18" s="867">
        <f t="shared" si="10"/>
        <v>0</v>
      </c>
      <c r="L18" s="867">
        <f t="shared" si="10"/>
        <v>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257</v>
      </c>
      <c r="X18" s="867">
        <f t="shared" si="11"/>
        <v>1</v>
      </c>
      <c r="Y18" s="868">
        <f t="shared" si="11"/>
        <v>258</v>
      </c>
      <c r="Z18" s="868">
        <f t="shared" si="11"/>
        <v>0</v>
      </c>
      <c r="AA18" s="868">
        <f t="shared" si="11"/>
        <v>1030</v>
      </c>
      <c r="AB18" s="868">
        <f t="shared" si="11"/>
        <v>258</v>
      </c>
      <c r="AC18" s="868">
        <f t="shared" si="11"/>
        <v>1288</v>
      </c>
      <c r="AD18" s="868">
        <f t="shared" si="11"/>
        <v>0</v>
      </c>
      <c r="AE18" s="872">
        <f t="shared" si="11"/>
        <v>0</v>
      </c>
      <c r="AF18" s="865">
        <f t="shared" si="11"/>
        <v>0</v>
      </c>
      <c r="AG18" s="873">
        <f t="shared" si="11"/>
        <v>0</v>
      </c>
      <c r="AH18" s="870">
        <f t="shared" si="11"/>
        <v>0</v>
      </c>
      <c r="AI18" s="865">
        <f t="shared" si="11"/>
        <v>46</v>
      </c>
      <c r="AJ18" s="867">
        <f t="shared" si="11"/>
        <v>0</v>
      </c>
      <c r="AK18" s="870">
        <f t="shared" si="11"/>
        <v>0</v>
      </c>
      <c r="AL18" s="874">
        <f>IF(ISNUMBER(NºAsuntos!G18/NºAsuntos!E18),NºAsuntos!G18/NºAsuntos!E18," - ")</f>
        <v>0.88927335640138405</v>
      </c>
      <c r="AM18" s="874">
        <f>IF(ISNUMBER(((NºAsuntos!I18/NºAsuntos!G18)*11)/factor_trimestre),((NºAsuntos!I18/NºAsuntos!G18)*11)/factor_trimestre," - ")</f>
        <v>12.023346303501945</v>
      </c>
      <c r="AN18" s="875">
        <f>IF(ISNUMBER('Resol  Asuntos'!D18/NºAsuntos!G18),'Resol  Asuntos'!D18/NºAsuntos!G18," - ")</f>
        <v>0.17898832684824903</v>
      </c>
      <c r="AO18" s="876">
        <f>IF(ISNUMBER((NºAsuntos!C18+NºAsuntos!E18)/NºAsuntos!G18),(NºAsuntos!C18+NºAsuntos!E18)/NºAsuntos!G18," - ")</f>
        <v>5.0077821011673151</v>
      </c>
      <c r="AP18" s="877" t="str">
        <f t="shared" si="2"/>
        <v xml:space="preserve"> - </v>
      </c>
      <c r="AQ18" s="877">
        <f>IF(ISNUMBER((H18-W18+K18)/(F18)),(H18-W18+K18)/(F18)," - ")</f>
        <v>-0.2722457627118644</v>
      </c>
      <c r="AR18" s="878">
        <f>IF(ISNUMBER((Datos!P18-Datos!Q18)/(Datos!R18-Datos!P18+Datos!Q18)),(Datos!P18-Datos!Q18)/(Datos!R18-Datos!P18+Datos!Q18)," - ")</f>
        <v>3.2000000000000001E-2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965</v>
      </c>
      <c r="G19" s="821">
        <f t="shared" si="13"/>
        <v>1019</v>
      </c>
      <c r="H19" s="820">
        <f t="shared" si="13"/>
        <v>0</v>
      </c>
      <c r="I19" s="822">
        <f t="shared" si="13"/>
        <v>0</v>
      </c>
      <c r="J19" s="822">
        <f t="shared" si="13"/>
        <v>0</v>
      </c>
      <c r="K19" s="881">
        <f t="shared" si="13"/>
        <v>0</v>
      </c>
      <c r="L19" s="822">
        <f t="shared" si="13"/>
        <v>76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257</v>
      </c>
      <c r="X19" s="821">
        <f t="shared" si="14"/>
        <v>24</v>
      </c>
      <c r="Y19" s="828">
        <f t="shared" si="14"/>
        <v>281</v>
      </c>
      <c r="Z19" s="828">
        <f t="shared" si="14"/>
        <v>0</v>
      </c>
      <c r="AA19" s="828">
        <f t="shared" si="14"/>
        <v>1051</v>
      </c>
      <c r="AB19" s="828">
        <f t="shared" si="14"/>
        <v>3334</v>
      </c>
      <c r="AC19" s="828">
        <f t="shared" si="14"/>
        <v>1315</v>
      </c>
      <c r="AD19" s="828">
        <f t="shared" si="14"/>
        <v>0</v>
      </c>
      <c r="AE19" s="830">
        <f t="shared" si="14"/>
        <v>0</v>
      </c>
      <c r="AF19" s="831">
        <f t="shared" si="14"/>
        <v>0</v>
      </c>
      <c r="AG19" s="832">
        <f t="shared" si="14"/>
        <v>0</v>
      </c>
      <c r="AH19" s="830">
        <f t="shared" si="14"/>
        <v>0</v>
      </c>
      <c r="AI19" s="820">
        <f t="shared" si="14"/>
        <v>123</v>
      </c>
      <c r="AJ19" s="820">
        <f t="shared" si="14"/>
        <v>0</v>
      </c>
      <c r="AK19" s="830">
        <f t="shared" si="14"/>
        <v>0</v>
      </c>
      <c r="AL19" s="884">
        <f>IF(ISNUMBER(NºAsuntos!G19/NºAsuntos!E19),NºAsuntos!G19/NºAsuntos!E19," - ")</f>
        <v>0.67268041237113407</v>
      </c>
      <c r="AM19" s="885">
        <f>IF(ISNUMBER(((NºAsuntos!I19/NºAsuntos!G19)*11)/factor_trimestre),((NºAsuntos!I19/NºAsuntos!G19)*11)/factor_trimestre," - ")</f>
        <v>21.235632183908045</v>
      </c>
      <c r="AN19" s="885">
        <f>IF(ISNUMBER('Resol  Asuntos'!D19/NºAsuntos!G19),'Resol  Asuntos'!D19/NºAsuntos!G19," - ")</f>
        <v>0.23563218390804597</v>
      </c>
      <c r="AO19" s="886">
        <f>IF(ISNUMBER((NºAsuntos!C19+NºAsuntos!E19)/NºAsuntos!G19),(NºAsuntos!C19+NºAsuntos!E19)/NºAsuntos!G19," - ")</f>
        <v>8.0785440613026829</v>
      </c>
      <c r="AP19" s="887" t="str">
        <f t="shared" si="2"/>
        <v xml:space="preserve"> - </v>
      </c>
      <c r="AQ19" s="888">
        <f>IF(OR(ISNUMBER(FIND("01",Criterios!A8,1)),ISNUMBER(FIND("02",Criterios!A8,1)),ISNUMBER(FIND("03",Criterios!A8,1)),ISNUMBER(FIND("04",Criterios!A8,1))),(I19-W19+K19)/(F19-K19),(H19-W19+K19)/(F19-K19))</f>
        <v>-0.26632124352331604</v>
      </c>
      <c r="AR19" s="889">
        <f>IF(ISNUMBER((Datos!P19-Datos!Q19)/(Datos!R19-Datos!P19+Datos!Q19)),(Datos!P19-Datos!Q19)/(Datos!R19-Datos!P19+Datos!Q19)," - ")</f>
        <v>1.5843997562461912E-2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407.6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532.89429846202461</v>
      </c>
      <c r="G21" s="253">
        <f>IF(ISNUMBER(STDEV(G8:G18)),STDEV(G8:G18),"-")</f>
        <v>514.84201460253803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140.30930118848144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34.652561232901675</v>
      </c>
      <c r="AJ21" s="252">
        <f t="shared" si="18"/>
        <v>0</v>
      </c>
      <c r="AK21" s="254">
        <f t="shared" si="18"/>
        <v>0</v>
      </c>
      <c r="AL21" s="249">
        <f t="shared" si="18"/>
        <v>0.19826446412311791</v>
      </c>
      <c r="AM21" s="250">
        <f t="shared" si="18"/>
        <v>62.438608220033963</v>
      </c>
      <c r="AN21" s="250">
        <f t="shared" si="18"/>
        <v>0.11888427642312865</v>
      </c>
      <c r="AO21" s="251">
        <f t="shared" si="18"/>
        <v>20.812869406677986</v>
      </c>
      <c r="AP21" s="291" t="str">
        <f t="shared" si="18"/>
        <v>-</v>
      </c>
      <c r="AQ21" s="292">
        <f t="shared" si="18"/>
        <v>0.19250682496286306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NaOy+Fw5Tpr6tjPNwtMkXi8JwqPbz5Ps1vwesP6RHMGGt/DbJIZzmVLe005yf6arUL5D8ZH4HQDwRCDPRWGpvw==" saltValue="koiBw7HIhxbOjSuyH/haq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TOLEDO</v>
      </c>
      <c r="E3" s="263"/>
    </row>
    <row r="4" spans="2:20" ht="17.25" customHeight="1" thickBot="1">
      <c r="D4" s="262" t="str">
        <f>Criterios!A11 &amp;"  "&amp;Criterios!B11</f>
        <v>Resumenes por Partidos Judiciales  ORGAZ</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0.3125</v>
      </c>
      <c r="E10" s="348">
        <f>IF(ISNUMBER((Datos!J10-Datos!T10)/Datos!T10),(Datos!J10-Datos!T10)/Datos!T10," - ")</f>
        <v>-1</v>
      </c>
      <c r="F10" s="348" t="str">
        <f>IF(ISNUMBER((Datos!K10-Datos!U10)/Datos!U10),(Datos!K10-Datos!U10)/Datos!U10," - ")</f>
        <v xml:space="preserve"> - </v>
      </c>
      <c r="G10" s="349">
        <f>IF(ISNUMBER((Datos!L10-Datos!V10)/Datos!V10),(Datos!L10-Datos!V10)/Datos!V10," - ")</f>
        <v>0.10526315789473684</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4.0540540540540543E-2</v>
      </c>
      <c r="I12" s="350">
        <f>IF(ISNUMBER((Tasas!C12-Datos!BE12)/Datos!BE12),(Tasas!C12-Datos!BE12)/Datos!BE12," - ")</f>
        <v>0.60447378002670094</v>
      </c>
      <c r="J12" s="349">
        <f>IF(ISNUMBER((Tasas!D12-Datos!BF12)/Datos!BF12),(Tasas!D12-Datos!BF12)/Datos!BF12," - ")</f>
        <v>-0.4839674193215795</v>
      </c>
      <c r="K12" s="351">
        <f>IF(ISNUMBER((Tasas!E12-Datos!BG12)/Datos!BG12),(Tasas!E12-Datos!BG12)/Datos!BG12," - ")</f>
        <v>0.52073380623783572</v>
      </c>
      <c r="M12" t="e">
        <f>IF(Monitorios="SI",Datos!CE12,0)</f>
        <v>#REF!</v>
      </c>
      <c r="N12" t="e">
        <f>IF(Monitorios="SI",Datos!CF12,0)</f>
        <v>#REF!</v>
      </c>
      <c r="O12" t="e">
        <f>IF(Monitorios="SI",Datos!CG12,0)</f>
        <v>#REF!</v>
      </c>
      <c r="P12" t="e">
        <f>IF(Monitorios="SI",Datos!CH12,0)</f>
        <v>#REF!</v>
      </c>
      <c r="Q12">
        <f>IF(J_V="SI",0,Datos!AG12)</f>
        <v>36</v>
      </c>
      <c r="R12">
        <f>IF(J_V="SI",0,Datos!AH12)</f>
        <v>18</v>
      </c>
      <c r="S12">
        <f>IF(J_V="SI",0,Datos!AI12)</f>
        <v>10</v>
      </c>
      <c r="T12">
        <f>IF(J_V="SI",0,Datos!AJ12)</f>
        <v>44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4.0540540540540543E-2</v>
      </c>
      <c r="I13" s="357">
        <f>IF(ISNUMBER((Tasas!C13-Datos!BE13)/Datos!BE13),(Tasas!C13-Datos!BE13)/Datos!BE13," - ")</f>
        <v>0.60215501294857565</v>
      </c>
      <c r="J13" s="355">
        <f>IF(ISNUMBER((Tasas!D13-Datos!BF13)/Datos!BF13),(Tasas!D13-Datos!BF13)/Datos!BF13," - ")</f>
        <v>-0.4839674193215795</v>
      </c>
      <c r="K13" s="358">
        <f>IF(ISNUMBER((Tasas!E13-Datos!BG13)/Datos!BG13),(Tasas!E13-Datos!BG13)/Datos!BG13," - ")</f>
        <v>0.51940643823048382</v>
      </c>
      <c r="M13" t="e">
        <f>IF(Monitorios="SI",Datos!CE13,0)</f>
        <v>#REF!</v>
      </c>
      <c r="N13" t="e">
        <f>IF(Monitorios="SI",Datos!CF13,0)</f>
        <v>#REF!</v>
      </c>
      <c r="O13" t="e">
        <f>IF(Monitorios="SI",Datos!CG13,0)</f>
        <v>#REF!</v>
      </c>
      <c r="P13" t="e">
        <f>IF(Monitorios="SI",Datos!CH13,0)</f>
        <v>#REF!</v>
      </c>
      <c r="Q13">
        <f>IF(J_V="SI",0,Datos!AG13)</f>
        <v>36</v>
      </c>
      <c r="R13">
        <f>IF(J_V="SI",0,Datos!AH13)</f>
        <v>18</v>
      </c>
      <c r="S13">
        <f>IF(J_V="SI",0,Datos!AI13)</f>
        <v>10</v>
      </c>
      <c r="T13">
        <f>IF(J_V="SI",0,Datos!AJ13)</f>
        <v>44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0.17705735660847879</v>
      </c>
      <c r="E16" s="348">
        <f>IF(ISNUMBER(
   IF(D_I="SI",(Datos!J16-Datos!T16)/Datos!T16,(Datos!J16+Datos!AD16-(Datos!T16+Datos!AL16))/(Datos!T16+Datos!AL16))
     ),IF(D_I="SI",(Datos!J16-Datos!T16)/Datos!T16,(Datos!J16+Datos!AD16-(Datos!T16+Datos!AL16))/(Datos!T16+Datos!AL16))," - ")</f>
        <v>-0.3549107142857143</v>
      </c>
      <c r="F16" s="348">
        <f>IF(ISNUMBER(
   IF(D_I="SI",(Datos!K16-Datos!U16)/Datos!U16,(Datos!K16+Datos!AE16-(Datos!U16+Datos!AM16))/(Datos!U16+Datos!AM16))
     ),IF(D_I="SI",(Datos!K16-Datos!U16)/Datos!U16,(Datos!K16+Datos!AE16-(Datos!U16+Datos!AM16))/(Datos!U16+Datos!AM16))," - ")</f>
        <v>-0.27478753541076489</v>
      </c>
      <c r="G16" s="349">
        <f>IF(ISNUMBER(
   IF(D_I="SI",(Datos!L16-Datos!V16)/Datos!V16,(Datos!L16+Datos!AF16-(Datos!V16+Datos!AN16))/(Datos!V16+Datos!AN16))
     ),IF(D_I="SI",(Datos!L16-Datos!V16)/Datos!V16,(Datos!L16+Datos!AF16-(Datos!V16+Datos!AN16))/(Datos!V16+Datos!AN16))," - ")</f>
        <v>8.9186176142697887E-2</v>
      </c>
      <c r="H16" s="230">
        <f>IF(ISNUMBER((Datos!M16-Datos!W16)/Datos!W16),(Datos!M16-Datos!W16)/Datos!W16," - ")</f>
        <v>0</v>
      </c>
      <c r="I16" s="350">
        <f>IF(ISNUMBER((Tasas!C16-Datos!BE16)/Datos!BE16),(Tasas!C16-Datos!BE16)/Datos!BE16," - ")</f>
        <v>0.50188562569676698</v>
      </c>
      <c r="J16" s="349">
        <f>IF(ISNUMBER((Tasas!D16-Datos!BF16)/Datos!BF16),(Tasas!D16-Datos!BF16)/Datos!BF16," - ")</f>
        <v>0.37890625000000006</v>
      </c>
      <c r="K16" s="351">
        <f>IF(ISNUMBER((Tasas!E16-Datos!BG16)/Datos!BG16),(Tasas!E16-Datos!BG16)/Datos!BG16," - ")</f>
        <v>0.36015312499999996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0.22727272727272727</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-0.96875</v>
      </c>
      <c r="G17" s="349">
        <f>IF(ISNUMBER(
   IF(D_I="SI",(Datos!L17-Datos!V17)/Datos!V17,(Datos!L17+Datos!AF17-(Datos!V17+Datos!AN17))/(Datos!V17+Datos!AN17))
     ),IF(D_I="SI",(Datos!L17-Datos!V17)/Datos!V17,(Datos!L17+Datos!AF17-(Datos!V17+Datos!AN17))/(Datos!V17+Datos!AN17))," - ")</f>
        <v>8.1632653061224483E-2</v>
      </c>
      <c r="H17" s="230">
        <f>IF(ISNUMBER((Datos!M17-Datos!W17)/Datos!W17),(Datos!M17-Datos!W17)/Datos!W17," - ")</f>
        <v>-1</v>
      </c>
      <c r="I17" s="350">
        <f>IF(ISNUMBER((Tasas!C17-Datos!BE17)/Datos!BE17),(Tasas!C17-Datos!BE17)/Datos!BE17," - ")</f>
        <v>33.612244897959187</v>
      </c>
      <c r="J17" s="349">
        <f>IF(ISNUMBER((Tasas!D17-Datos!BF17)/Datos!BF17),(Tasas!D17-Datos!BF17)/Datos!BF17," - ")</f>
        <v>-1</v>
      </c>
      <c r="K17" s="351">
        <f>IF(ISNUMBER((Tasas!E17-Datos!BG17)/Datos!BG17),(Tasas!E17-Datos!BG17)/Datos!BG17," - ")</f>
        <v>20.333333333333332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0.17966903073286053</v>
      </c>
      <c r="E18" s="354">
        <f>IF(ISNUMBER(
   IF(D_I="SI",(Datos!J18-Datos!T18)/Datos!T18,(Datos!J18+Datos!AD18-(Datos!T18+Datos!AL18))/(Datos!T18+Datos!AL18))
     ),IF(D_I="SI",(Datos!J18-Datos!T18)/Datos!T18,(Datos!J18+Datos!AD18-(Datos!T18+Datos!AL18))/(Datos!T18+Datos!AL18))," - ")</f>
        <v>-0.40412371134020619</v>
      </c>
      <c r="F18" s="354">
        <f>IF(ISNUMBER(
   IF(D_I="SI",(Datos!K18-Datos!U18)/Datos!U18,(Datos!K18+Datos!AE18-(Datos!U18+Datos!AM18))/(Datos!U18+Datos!AM18))
     ),IF(D_I="SI",(Datos!K18-Datos!U18)/Datos!U18,(Datos!K18+Datos!AE18-(Datos!U18+Datos!AM18))/(Datos!U18+Datos!AM18))," - ")</f>
        <v>-0.33246753246753247</v>
      </c>
      <c r="G18" s="355">
        <f>IF(ISNUMBER(
   IF(D_I="SI",(Datos!L18-Datos!V18)/Datos!V18,(Datos!L18+Datos!AF18-(Datos!V18+Datos!AN18))/(Datos!V18+Datos!AN18))
     ),IF(D_I="SI",(Datos!L18-Datos!V18)/Datos!V18,(Datos!L18+Datos!AF18-(Datos!V18+Datos!AN18))/(Datos!V18+Datos!AN18))," - ")</f>
        <v>8.8794926004228336E-2</v>
      </c>
      <c r="H18" s="356">
        <f>IF(ISNUMBER((Datos!M18-Datos!W18)/Datos!W18),(Datos!M18-Datos!W18)/Datos!W18," - ")</f>
        <v>-0.16363636363636364</v>
      </c>
      <c r="I18" s="357">
        <f>IF(ISNUMBER((Tasas!C18-Datos!BE18)/Datos!BE18),(Tasas!C18-Datos!BE18)/Datos!BE18," - ")</f>
        <v>0.63107411094018628</v>
      </c>
      <c r="J18" s="355">
        <f>IF(ISNUMBER((Tasas!D18-Datos!BF18)/Datos!BF18),(Tasas!D18-Datos!BF18)/Datos!BF18," - ")</f>
        <v>0.25291828793774329</v>
      </c>
      <c r="K18" s="358">
        <f>IF(ISNUMBER((Tasas!E18-Datos!BG18)/Datos!BG18),(Tasas!E18-Datos!BG18)/Datos!BG18," - ")</f>
        <v>0.44853201273434729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0.2868362004487659</v>
      </c>
      <c r="E19" s="363">
        <f>IF(ISNUMBER(
   IF(J_V="SI",(Datos!J19-Datos!T19)/Datos!T19,(Datos!J19+Datos!Z19-(Datos!T19+Datos!AH19))/(Datos!T19+Datos!AH19))
     ),IF(J_V="SI",(Datos!J19-Datos!T19)/Datos!T19,(Datos!J19+Datos!Z19-(Datos!T19+Datos!AH19))/(Datos!T19+Datos!AH19))," - ")</f>
        <v>-0.24070450097847357</v>
      </c>
      <c r="F19" s="363">
        <f>IF(ISNUMBER(
   IF(J_V="SI",(Datos!K19-Datos!U19)/Datos!U19,(Datos!K19+Datos!AA19-(Datos!U19+Datos!AI19))/(Datos!U19+Datos!AI19))
     ),IF(J_V="SI",(Datos!K19-Datos!U19)/Datos!U19,(Datos!K19+Datos!AA19-(Datos!U19+Datos!AI19))/(Datos!U19+Datos!AI19))," - ")</f>
        <v>-0.26478873239436618</v>
      </c>
      <c r="G19" s="364">
        <f>IF(ISNUMBER(
   IF(J_V="SI",(Datos!L19-Datos!V19)/Datos!V19,(Datos!L19+Datos!AB19-(Datos!V19+Datos!AJ19))/(Datos!V19+Datos!AJ19))
     ),IF(J_V="SI",(Datos!L19-Datos!V19)/Datos!V19,(Datos!L19+Datos!AB19-(Datos!V19+Datos!AJ19))/(Datos!V19+Datos!AJ19))," - ")</f>
        <v>0.23744139316811788</v>
      </c>
      <c r="H19" s="365">
        <f>IF(ISNUMBER((Datos!M19-Datos!W19)/Datos!W19),(Datos!M19-Datos!W19)/Datos!W19," - ")</f>
        <v>-4.6511627906976744E-2</v>
      </c>
      <c r="I19" s="362">
        <f>IF(ISNUMBER((Tasas!C19-Datos!BE19)/Datos!BE19),(Tasas!C19-Datos!BE19)/Datos!BE19," - ")</f>
        <v>0.6831099408991641</v>
      </c>
      <c r="J19" s="363">
        <f>IF(ISNUMBER((Tasas!D19-Datos!BF19)/Datos!BF19),(Tasas!D19-Datos!BF19)/Datos!BF19," - ")</f>
        <v>-0.29706365304742588</v>
      </c>
      <c r="K19" s="364">
        <f>IF(ISNUMBER((Tasas!E19-Datos!BG19)/Datos!BG19),(Tasas!E19-Datos!BG19)/Datos!BG19," - ")</f>
        <v>0.55188481697102398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6.327649660998344E-2</v>
      </c>
      <c r="E21" s="278">
        <f t="shared" si="1"/>
        <v>0.35879885206753365</v>
      </c>
      <c r="F21" s="278">
        <f t="shared" si="1"/>
        <v>0.38509008963454233</v>
      </c>
      <c r="G21" s="279">
        <f t="shared" si="1"/>
        <v>9.9857385967225543E-3</v>
      </c>
      <c r="H21" s="285">
        <f t="shared" si="1"/>
        <v>0.44600413181973469</v>
      </c>
      <c r="I21" s="277">
        <f t="shared" si="1"/>
        <v>14.77036107077916</v>
      </c>
      <c r="J21" s="278">
        <f t="shared" si="1"/>
        <v>0.57422739081782259</v>
      </c>
      <c r="K21" s="279">
        <f t="shared" si="1"/>
        <v>8.8868814745827382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16MQkxi5HXTqP0/aEcE6Ozxn0qYUYuGc1j8LC5BlaMoVhsYn26zzVUiIcuzR2DR3h1VfV/kqV/ZpvTo0UhaK6Q==" saltValue="txergWcyRWxUNP3zFF9r8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2024-09-24T14:27:08Z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